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45" yWindow="450" windowWidth="16875" windowHeight="14550" tabRatio="867" activeTab="3"/>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2" hidden="1">'別紙様式2-2（個票（４、５月））'!$BE$11:$BE$12</definedName>
    <definedName name="地域密着型特定施設入居者生活介護_Ⅴ">'【参考】数式用'!$AT$15:$AV$15</definedName>
    <definedName name="宮崎県">'【参考】数式用'!$W$1640:$W$1665</definedName>
    <definedName name="キャリアパス要件Ⅰ・Ⅱ_加算対象">'【参考】数式用'!$BF$11:$BF$14</definedName>
    <definedName name="介護予防小規模多機能型居宅介護_短期利用型_R8">'【参考】数式用'!$AZ$22:$BD$22</definedName>
    <definedName name="キャリアパス要件Ⅰ・Ⅱ_加算対象外">'【参考】数式用'!$BF$16:$BF$19</definedName>
    <definedName name="表７_キャリアパス要件Ⅳ_規定人数集計対象外リスト">'【参考】数式用'!$AO$3:$AO$49</definedName>
    <definedName name="岩手県">'【参考】数式用'!$W$228:$W$260</definedName>
    <definedName name="介護予防短期入所療養介護_介護老人保健施設_R8">'【参考】数式用'!$AZ$35:$BD$35</definedName>
    <definedName name="愛知県">'【参考】数式用'!$W$993:$W$1046</definedName>
    <definedName name="香川県">'【参考】数式用'!$W$1405:$W$1421</definedName>
    <definedName name="介護老人福祉施設サービスR8">'【参考】数式用'!$AZ$29:$BD$29</definedName>
    <definedName name="サービスコード">'【参考】数式用'!$B$4:$B$57</definedName>
    <definedName name="介護医療院サービスR8">'【参考】数式用'!$AZ$38:$BD$38</definedName>
    <definedName name="岡山県">'【参考】数式用'!$W$1312:$W$1338</definedName>
    <definedName name="宮城県">'【参考】数式用'!$W$261:$W$295</definedName>
    <definedName name="サービス区分">'【参考】数式用'!$A$4:$A$57</definedName>
    <definedName name="愛媛県">'【参考】数式用'!$W$1422:$W$1441</definedName>
    <definedName name="介護老人保健施設サービスⅤ">'【参考】数式用'!$AT$33:$AV$33</definedName>
    <definedName name="茨城県">'【参考】数式用'!$W$415:$W$458</definedName>
    <definedName name="京都府">'【参考】数式用'!$W$1095:$W$1120</definedName>
    <definedName name="沖縄県">'【参考】数式用'!$W$1709:$W$1749</definedName>
    <definedName name="複合型サービス_看護小規模多機能型居宅介護_Ⅴ">'【参考】数式用'!$AT$23:$AV$23</definedName>
    <definedName name="介護予防短期入所療養介護_介護医療院_R8">'【参考】数式用'!$AZ$40:$BD$40</definedName>
    <definedName name="介護予防小規模多機能型居宅介護R8">'【参考】数式用'!$AZ$21:$BD$21</definedName>
    <definedName name="加算対象">'【参考】数式用'!$Q$4:$Q$9</definedName>
    <definedName name="岐阜県">'【参考】数式用'!$W$916:$W$957</definedName>
    <definedName name="介護予防認知症対応型通所介護R8">'【参考】数式用'!$AZ$18:$BD$18</definedName>
    <definedName name="加算対象外">'【参考】数式用'!$R$4:$R$9</definedName>
    <definedName name="介護予防短期入所療養介護_病院等_老健以外__R8">'【参考】数式用'!$AZ$37:$BD$37</definedName>
    <definedName name="介護予防通所リハビリテーションR8">'【参考】数式用'!$AZ$11:$BD$11</definedName>
    <definedName name="介護医療院サービスⅤ">'【参考】数式用'!$AT$38:$AV$38</definedName>
    <definedName name="通所型サービス_独自_定額_Ⅴ">'【参考】数式用'!$AT$46:$AV$46</definedName>
    <definedName name="介護予防訪問入浴介護R8">'【参考】数式用'!$AZ$7:$BD$7</definedName>
    <definedName name="介護予防ケアマネジメントR8">'【参考】数式用'!$AZ$50:$BC$50</definedName>
    <definedName name="通所型サービス_独自_19人未満_Ⅴ">'【参考】数式用'!$AT$47:$AV$47</definedName>
    <definedName name="介護予防支援R8">'【参考】数式用'!$AZ$56:$BC$56</definedName>
    <definedName name="山形県">'【参考】数式用'!$W$321:$W$355</definedName>
    <definedName name="介護予防特定施設入居者生活介護R8">'【参考】数式用'!$AZ$14:$BD$14</definedName>
    <definedName name="介護予防小規模多機能型居宅介護_短期利用型_Ⅴ">'【参考】数式用'!$AT$22:$AV$22</definedName>
    <definedName name="介護予防訪問リハビリテーションR8">'【参考】数式用'!$AZ$54:$BC$54</definedName>
    <definedName name="介護予防短期入所療養介護_介護医療院_Ⅴ">'【参考】数式用'!$AT$40:$AV$40</definedName>
    <definedName name="介護予防小規模多機能型居宅介護Ⅴ">'【参考】数式用'!$AT$21:$AV$21</definedName>
    <definedName name="介護予防短期入所生活介護Ⅴ">'【参考】数式用'!$AT$32:$AV$32</definedName>
    <definedName name="介護予防短期入所生活介護R8">'【参考】数式用'!$AZ$32:$BD$32</definedName>
    <definedName name="介護予防短期入所療養介護_介護老人保健施設_Ⅴ">'【参考】数式用'!$AT$35:$AV$35</definedName>
    <definedName name="介護予防認知症対応型通所介護Ⅴ">'【参考】数式用'!$AT$18:$AV$18</definedName>
    <definedName name="介護予防短期入所療養介護_病院等_老健以外__Ⅴ">'【参考】数式用'!$AT$37:$AV$37</definedName>
    <definedName name="介護予防通所リハビリテーションⅤ">'【参考】数式用'!$AT$11:$AV$11</definedName>
    <definedName name="通所型サービス_独自_定額__19人未満__R8">'【参考】数式用'!$AZ$49:$BD$49</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滋賀県">'【参考】数式用'!$W$1076:$W$1094</definedName>
    <definedName name="介護予防認知症対応型共同生活介護Ⅴ">'【参考】数式用'!$AT$27:$AV$27</definedName>
    <definedName name="介護予防認知症対応型共同生活介護R8">'【参考】数式用'!$AZ$27:$BD$27</definedName>
    <definedName name="介護予防訪問看護R8">'【参考】数式用'!$AZ$52:$BC$52</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'【参考】数式用'!$AZ$55:$BC$55</definedName>
    <definedName name="熊本県">'【参考】数式用'!$W$1577:$W$1621</definedName>
    <definedName name="群馬県">'【参考】数式用'!$W$484:$W$518</definedName>
    <definedName name="訪問介護">'【参考】数式用'!$AT$3:$AV$3</definedName>
    <definedName name="計算用">#REF!</definedName>
    <definedName name="通所型サービス_独自_定率_Ⅴ">'【参考】数式用'!$AT$45:$AV$45</definedName>
    <definedName name="広島県">'【参考】数式用'!$W$1339:$W$1361</definedName>
    <definedName name="通所型サービス_独自_定額_19人未満_Ⅴ">'【参考】数式用'!$AT$49:$AV$49</definedName>
    <definedName name="高知県">'【参考】数式用'!$W$1442:$W$1475</definedName>
    <definedName name="通所型サービス_独自_定率__19人以上_R8">'【参考】数式用'!$AZ$45:$BD$45</definedName>
    <definedName name="佐賀県">'【参考】数式用'!$W$1536:$W$1555</definedName>
    <definedName name="埼玉県">'【参考】数式用'!$W$519:$W$581</definedName>
    <definedName name="三重県">'【参考】数式用'!$W$1047:$W$1075</definedName>
    <definedName name="山口県">'【参考】数式用'!$W$1362:$W$1380</definedName>
    <definedName name="地域密着型介護老人福祉施設R8">'【参考】数式用'!$AZ$30:$BD$30</definedName>
    <definedName name="山梨県">'【参考】数式用'!$W$812:$W$838</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特定施設入居者生活介護_短期利用型_Ⅴ">'【参考】数式用'!$AT$13:$AV$13</definedName>
    <definedName name="小規模多機能型居宅介護R8">'【参考】数式用'!$AZ$19:$BD$19</definedName>
    <definedName name="訪問型サービス_独自_定額_R8">'【参考】数式用'!$AZ$43:$BD$43</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表２サービスコード">'【参考】数式用'!$A$4:$A$57</definedName>
    <definedName name="短期入所生活介護R8">'【参考】数式用'!$AZ$31:$BD$31</definedName>
    <definedName name="特定施設入居者生活介護_短期利用型_R8">'【参考】数式用'!$AZ$13:$BD$13</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奈良県">'【参考】数式用'!$W$1205:$W$1243</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R8">'【参考】数式用'!$AZ$15:$BD$15</definedName>
    <definedName name="訪問入浴介護R8">'【参考】数式用'!$AZ$6:$BD$6</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19人以上_Ⅴ">'【参考】数式用'!$AT$46:$AV$46</definedName>
    <definedName name="通所型サービス_独自_定額_R8">'【参考】数式用'!$AZ$46:$BD$46</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夜間対応型訪問介護Ⅴ">'【参考】数式用'!$AT$4:$AV$4</definedName>
    <definedName name="特定施設入居者生活介護Ⅴ">'【参考】数式用'!$AT$12:$AV$12</definedName>
    <definedName name="夜間対応型訪問介護R8">'【参考】数式用'!$AZ$4:$BD$4</definedName>
    <definedName name="特定施設入居者生活介護R8">'【参考】数式用'!$AZ$12:$BD$12</definedName>
    <definedName name="栃木県">'【参考】数式用'!$W$459:$W$483</definedName>
    <definedName name="和歌山県">'【参考】数式用'!$W$1244:$W$1273</definedName>
    <definedName name="複合型サービス_看護小規模多機能型居宅介護・短期利用型_Ⅴ">'【参考】数式用'!$AT$24:$AV$24</definedName>
    <definedName name="認知症対応型共同生活介護_短期利用型_Ⅴ">'【参考】数式用'!$AT$26:$AV$26</definedName>
    <definedName name="複合型サービス_看護小規模多機能型居宅介護・短期利用型_R8">'【参考】数式用'!$AZ$24:$BD$24</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'【参考】数式用'!$AZ$53:$BC$53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基本情報入力シート!$A$1:$AG$139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'別紙様式2-3（個票（６月以降））'!$A$1:$AL$111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作成者</author>
  </authors>
  <commentList>
    <comment ref="Z38"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24" authorId="0">
      <text>
        <r>
          <rPr>
            <sz val="9"/>
            <color indexed="81"/>
            <rFont val="MS P ゴシック"/>
          </rPr>
          <t>社会保険労務士事務所等の担当者の
氏名・連絡先を記入しても構いません。</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B38" authorId="0">
      <text>
        <r>
          <rPr>
            <sz val="8"/>
            <color indexed="81"/>
            <rFont val="MS P ゴシック"/>
          </rPr>
          <t>10桁の事業所番号を入力してください（10桁の入力以外は受け付けません。）</t>
        </r>
      </text>
    </comment>
    <comment ref="AG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別紙様式２－２、２－３に記入した内容に基づき、令和８年度の加算の見込額の合計が自動で表示されます。</t>
        </r>
      </text>
    </comment>
    <comment ref="Q17"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rPr>
          <t>別紙様式２－２、２－３に記入した内容をもとに、令和８年４月以降の12か月分の値が自動で入力されます。</t>
        </r>
      </text>
    </comment>
    <comment ref="Z26"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130" authorId="0">
      <text>
        <r>
          <rPr>
            <sz val="9"/>
            <color rgb="FF000000"/>
            <rFont val="MS P ゴシック"/>
          </rPr>
          <t>空欄が表示される項目は、記入が不要のため、
対応する必要はありません。</t>
        </r>
      </text>
    </comment>
    <comment ref="B53" authorId="0">
      <text>
        <r>
          <rPr>
            <b/>
            <sz val="10"/>
            <color indexed="81"/>
            <rFont val="MS P 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rPr>
          <t>　</t>
        </r>
        <r>
          <rPr>
            <b/>
            <u/>
            <sz val="11"/>
            <color indexed="81"/>
            <rFont val="MS P ゴシック"/>
          </rPr>
          <t xml:space="preserve">関数の都合上一律にセルに色が付きますので、例えば以下のように入力して差し支えありません（令和８年度処遇改善加算ＱＡ（第１版）５－５，６参照）
</t>
        </r>
        <r>
          <rPr>
            <b/>
            <sz val="11"/>
            <color indexed="81"/>
            <rFont val="MS P ゴシック"/>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<sst xmlns="http://schemas.openxmlformats.org/spreadsheetml/2006/main" xmlns:r="http://schemas.openxmlformats.org/officeDocument/2006/relationships" count="2461" uniqueCount="2461">
  <si>
    <t>馬路村</t>
  </si>
  <si>
    <t>青森市</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</si>
  <si>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</si>
  <si>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月額賃金要件Ⅰを満たす</t>
    <rPh sb="0" eb="2">
      <t>ゲツガク</t>
    </rPh>
    <rPh sb="2" eb="4">
      <t>チンギン</t>
    </rPh>
    <rPh sb="4" eb="6">
      <t>ヨウケン</t>
    </rPh>
    <rPh sb="8" eb="9">
      <t>ミ</t>
    </rPh>
    <phoneticPr fontId="21"/>
  </si>
  <si>
    <t>一月あたり介護報酬総単位数[単位]</t>
  </si>
  <si>
    <t>大崎市</t>
  </si>
  <si>
    <t>ヶ月）</t>
    <rPh sb="1" eb="2">
      <t>ゲツ</t>
    </rPh>
    <phoneticPr fontId="21"/>
  </si>
  <si>
    <t>皆野町</t>
  </si>
  <si>
    <t>芦屋市</t>
  </si>
  <si>
    <t>下表に必要事項を入力してください。記入内容が各様式に反映されます。</t>
  </si>
  <si>
    <t>月</t>
    <rPh sb="0" eb="1">
      <t>ゲツ</t>
    </rPh>
    <phoneticPr fontId="21"/>
  </si>
  <si>
    <t>波佐見町</t>
  </si>
  <si>
    <t>月額賃金改善要件</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</si>
  <si>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</si>
  <si>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知名町</t>
  </si>
  <si>
    <t>就業規則、給与規程、
資質向上のための計画等</t>
    <rPh sb="0" eb="2">
      <t>シュウギョウ</t>
    </rPh>
    <rPh sb="2" eb="4">
      <t>キソク</t>
    </rPh>
    <rPh sb="5" eb="7">
      <t>キュウヨ</t>
    </rPh>
    <rPh sb="7" eb="9">
      <t>キテイ</t>
    </rPh>
    <rPh sb="21" eb="22">
      <t>トウ</t>
    </rPh>
    <phoneticPr fontId="21"/>
  </si>
  <si>
    <t>合計</t>
    <rPh sb="0" eb="2">
      <t>ゴウケイ</t>
    </rPh>
    <phoneticPr fontId="21"/>
  </si>
  <si>
    <t>市区町村</t>
    <rPh sb="0" eb="2">
      <t>シク</t>
    </rPh>
    <rPh sb="2" eb="4">
      <t>チョウソン</t>
    </rPh>
    <phoneticPr fontId="21"/>
  </si>
  <si>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</si>
  <si>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九重町</t>
  </si>
  <si>
    <t>処遇改善加算Ⅳ相当の加算額の見込額の
１／２</t>
    <rPh sb="7" eb="9">
      <t>ソウトウ</t>
    </rPh>
    <rPh sb="10" eb="13">
      <t>カサンガク</t>
    </rPh>
    <rPh sb="14" eb="16">
      <t>ミコミ</t>
    </rPh>
    <rPh sb="16" eb="17">
      <t>ガク</t>
    </rPh>
    <phoneticPr fontId="21"/>
  </si>
  <si>
    <t>七宗町</t>
  </si>
  <si>
    <t>↓隠し列</t>
    <rPh sb="1" eb="2">
      <t>カク</t>
    </rPh>
    <rPh sb="3" eb="4">
      <t>レツ</t>
    </rPh>
    <phoneticPr fontId="21"/>
  </si>
  <si>
    <t>【処遇改善加算Ⅲ・Ⅳ、６月以降は新規に対象となるサービスも対象】</t>
    <rPh sb="16" eb="18">
      <t>シンキ</t>
    </rPh>
    <rPh sb="19" eb="21">
      <t>タイショウ</t>
    </rPh>
    <rPh sb="29" eb="31">
      <t>タイショウ</t>
    </rPh>
    <phoneticPr fontId="21"/>
  </si>
  <si>
    <t>栗東市</t>
    <rPh sb="0" eb="3">
      <t>リットウシ</t>
    </rPh>
    <phoneticPr fontId="95"/>
  </si>
  <si>
    <t>立川市</t>
  </si>
  <si>
    <t>提出先</t>
    <rPh sb="0" eb="2">
      <t>テイシュツ</t>
    </rPh>
    <rPh sb="2" eb="3">
      <t>サキ</t>
    </rPh>
    <phoneticPr fontId="21"/>
  </si>
  <si>
    <t>日置市</t>
  </si>
  <si>
    <t>●はじめに本シート（基本情報入力シート）のセルに入力することで、申請対象となる事業所等に関する基本的な情報が、各シートに自動的に転記されます。</t>
  </si>
  <si>
    <t>事業所の所在地</t>
    <rPh sb="0" eb="3">
      <t>ジギョウショ</t>
    </rPh>
    <rPh sb="4" eb="7">
      <t>ショザイチ</t>
    </rPh>
    <phoneticPr fontId="21"/>
  </si>
  <si>
    <t>通常の介護業務</t>
    <rPh sb="3" eb="5">
      <t>カイゴ</t>
    </rPh>
    <phoneticPr fontId="21"/>
  </si>
  <si>
    <t>斜里町</t>
  </si>
  <si>
    <t>一宮町</t>
  </si>
  <si>
    <t>⇒上記に「×」が付いた場合、この欄に記入すること</t>
    <rPh sb="1" eb="3">
      <t>ジョウキ</t>
    </rPh>
    <phoneticPr fontId="21"/>
  </si>
  <si>
    <t>任用要件・賃金体系の整備等、研修の実施等</t>
    <rPh sb="0" eb="2">
      <t>ニンヨウ</t>
    </rPh>
    <rPh sb="2" eb="4">
      <t>ヨウケン</t>
    </rPh>
    <rPh sb="5" eb="7">
      <t>チンギン</t>
    </rPh>
    <rPh sb="7" eb="9">
      <t>タイケイ</t>
    </rPh>
    <rPh sb="10" eb="12">
      <t>セイビ</t>
    </rPh>
    <rPh sb="12" eb="13">
      <t>トウ</t>
    </rPh>
    <phoneticPr fontId="21"/>
  </si>
  <si>
    <t>件</t>
    <rPh sb="0" eb="1">
      <t>ケン</t>
    </rPh>
    <phoneticPr fontId="21"/>
  </si>
  <si>
    <t>留寿都村</t>
  </si>
  <si>
    <t>東吉野村</t>
  </si>
  <si>
    <t>やりがい
・
働きがい
の醸成</t>
  </si>
  <si>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</si>
  <si>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大垣市</t>
  </si>
  <si>
    <t>介護予防短期入所療養介護（老健）</t>
  </si>
  <si>
    <t>蓬田村</t>
  </si>
  <si>
    <t>法人名</t>
    <rPh sb="0" eb="2">
      <t>ホウジン</t>
    </rPh>
    <rPh sb="2" eb="3">
      <t>メイ</t>
    </rPh>
    <phoneticPr fontId="21"/>
  </si>
  <si>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</si>
  <si>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１単位あたりの単価
（地域単価）
[円]</t>
    <rPh sb="1" eb="3">
      <t>タンイ</t>
    </rPh>
    <rPh sb="7" eb="9">
      <t>タンカ</t>
    </rPh>
    <rPh sb="11" eb="13">
      <t>チイキ</t>
    </rPh>
    <rPh sb="13" eb="15">
      <t>タンカ</t>
    </rPh>
    <rPh sb="18" eb="19">
      <t>エン</t>
    </rPh>
    <phoneticPr fontId="21"/>
  </si>
  <si>
    <t>１　提出先に関する情報</t>
    <rPh sb="2" eb="4">
      <t>テイシュツ</t>
    </rPh>
    <rPh sb="4" eb="5">
      <t>サキ</t>
    </rPh>
    <rPh sb="6" eb="7">
      <t>カン</t>
    </rPh>
    <rPh sb="9" eb="11">
      <t>ジョウホウ</t>
    </rPh>
    <phoneticPr fontId="95"/>
  </si>
  <si>
    <t>軽米町</t>
  </si>
  <si>
    <t>島牧村</t>
  </si>
  <si>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</si>
  <si>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御所市</t>
  </si>
  <si>
    <t>大町町</t>
  </si>
  <si>
    <t>②</t>
  </si>
  <si>
    <t>令和８年度の加算の見込額</t>
  </si>
  <si>
    <t>２　基本情報</t>
    <rPh sb="2" eb="4">
      <t>キホン</t>
    </rPh>
    <rPh sb="4" eb="6">
      <t>ジョウホウ</t>
    </rPh>
    <phoneticPr fontId="95"/>
  </si>
  <si>
    <t>！実施する周知方法が選択されていません。</t>
    <rPh sb="10" eb="12">
      <t>センタク</t>
    </rPh>
    <phoneticPr fontId="21"/>
  </si>
  <si>
    <t>竹富町</t>
  </si>
  <si>
    <t>沖縄県</t>
  </si>
  <si>
    <t>28</t>
  </si>
  <si>
    <t>電話番号</t>
    <rPh sb="0" eb="2">
      <t>デンワ</t>
    </rPh>
    <rPh sb="2" eb="4">
      <t>バンゴウ</t>
    </rPh>
    <phoneticPr fontId="21"/>
  </si>
  <si>
    <t>座間味村</t>
  </si>
  <si>
    <t>介護予防訪問入浴介護R8</t>
  </si>
  <si>
    <t>井川町</t>
  </si>
  <si>
    <t>多賀町</t>
  </si>
  <si>
    <t>法人名</t>
  </si>
  <si>
    <t>八街市</t>
  </si>
  <si>
    <t>多気町</t>
  </si>
  <si>
    <t>八潮市</t>
  </si>
  <si>
    <t>都道府県</t>
    <rPh sb="0" eb="4">
      <t>トドウフケン</t>
    </rPh>
    <phoneticPr fontId="21"/>
  </si>
  <si>
    <t>〒結合</t>
    <rPh sb="1" eb="3">
      <t>ケツゴウ</t>
    </rPh>
    <phoneticPr fontId="21"/>
  </si>
  <si>
    <t>竜王町</t>
  </si>
  <si>
    <t>中野区</t>
    <rPh sb="0" eb="3">
      <t>ナカノク</t>
    </rPh>
    <phoneticPr fontId="95"/>
  </si>
  <si>
    <t>処遇改善加算Ⅳの1/2以上の月額賃金改善を行う計画になっていること</t>
    <rPh sb="21" eb="22">
      <t>オコナ</t>
    </rPh>
    <rPh sb="23" eb="25">
      <t>ケイカク</t>
    </rPh>
    <phoneticPr fontId="21"/>
  </si>
  <si>
    <t>2級地</t>
    <rPh sb="1" eb="3">
      <t>キュウチ</t>
    </rPh>
    <phoneticPr fontId="21"/>
  </si>
  <si>
    <t>神山町</t>
  </si>
  <si>
    <t>年</t>
  </si>
  <si>
    <t>長洲町</t>
  </si>
  <si>
    <t>フリガナ</t>
  </si>
  <si>
    <t>←</t>
  </si>
  <si>
    <t>青森県</t>
  </si>
  <si>
    <t>名称</t>
    <rPh sb="0" eb="2">
      <t>メイショウ</t>
    </rPh>
    <phoneticPr fontId="21"/>
  </si>
  <si>
    <t>佐倉市</t>
  </si>
  <si>
    <t>法人住所</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</si>
  <si>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</si>
  <si>
    <t>岐阜市</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</si>
  <si>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</si>
  <si>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②・③の選択肢</t>
    <rPh sb="4" eb="7">
      <t>センタクシ</t>
    </rPh>
    <phoneticPr fontId="21"/>
  </si>
  <si>
    <t>八百津町</t>
  </si>
  <si>
    <t>一月あたり介護報酬総単位数（処遇改善加算を除く）[単位]</t>
    <rPh sb="14" eb="18">
      <t>ショグウカイゼン</t>
    </rPh>
    <rPh sb="18" eb="20">
      <t>カサン</t>
    </rPh>
    <rPh sb="21" eb="22">
      <t>ノゾ</t>
    </rPh>
    <phoneticPr fontId="21"/>
  </si>
  <si>
    <t>〒</t>
  </si>
  <si>
    <t>小川町</t>
  </si>
  <si>
    <t>おいらせ町</t>
  </si>
  <si>
    <t>大郷町</t>
  </si>
  <si>
    <t>-</t>
  </si>
  <si>
    <t>川北町</t>
  </si>
  <si>
    <t>住所１（番地・住居番号まで）</t>
    <rPh sb="0" eb="2">
      <t>ジュウショ</t>
    </rPh>
    <rPh sb="4" eb="6">
      <t>バンチ</t>
    </rPh>
    <rPh sb="7" eb="9">
      <t>ジュウキョ</t>
    </rPh>
    <rPh sb="9" eb="11">
      <t>バンゴウ</t>
    </rPh>
    <phoneticPr fontId="21"/>
  </si>
  <si>
    <t>千葉県</t>
  </si>
  <si>
    <t>住所２（建物名等）</t>
    <rPh sb="0" eb="2">
      <t>ジュウショ</t>
    </rPh>
    <rPh sb="4" eb="6">
      <t>タテモノ</t>
    </rPh>
    <rPh sb="6" eb="7">
      <t>メイ</t>
    </rPh>
    <rPh sb="7" eb="8">
      <t>トウ</t>
    </rPh>
    <phoneticPr fontId="21"/>
  </si>
  <si>
    <t>赤村</t>
  </si>
  <si>
    <t>埼玉県</t>
    <rPh sb="0" eb="3">
      <t>サイタマケン</t>
    </rPh>
    <phoneticPr fontId="21"/>
  </si>
  <si>
    <t>⑭短時間勤務労働者等も受診可能な健康診断・ストレスチェックや、従業員のための休憩室の設置等健康管理対策の実施</t>
  </si>
  <si>
    <t>常勤（月給）
・基本給 ●●●円～
・資格手当 ＋●●円</t>
    <rPh sb="0" eb="2">
      <t>ジョウキン</t>
    </rPh>
    <rPh sb="19" eb="21">
      <t>シカク</t>
    </rPh>
    <phoneticPr fontId="21"/>
  </si>
  <si>
    <t>一月あたり処遇改善加算の加算単位数[単位]</t>
  </si>
  <si>
    <t>別紙様式2-2、2-3「④キャリアパス要件Ⅲ」の欄から転記（詳しい要件の内容は参考シートを参照）</t>
  </si>
  <si>
    <t>法人
代表者</t>
  </si>
  <si>
    <t>厚木市</t>
  </si>
  <si>
    <t>気仙沼市</t>
  </si>
  <si>
    <t>鴻巣市</t>
  </si>
  <si>
    <t>１　基本情報</t>
    <rPh sb="2" eb="4">
      <t>キホン</t>
    </rPh>
    <rPh sb="4" eb="6">
      <t>ジョウホウ</t>
    </rPh>
    <phoneticPr fontId="21"/>
  </si>
  <si>
    <t>表10</t>
    <rPh sb="0" eb="1">
      <t>ヒョウ</t>
    </rPh>
    <phoneticPr fontId="21"/>
  </si>
  <si>
    <t>斑鳩町</t>
  </si>
  <si>
    <t>宮代町</t>
  </si>
  <si>
    <t>職名</t>
    <rPh sb="0" eb="2">
      <t>ショクメイ</t>
    </rPh>
    <phoneticPr fontId="21"/>
  </si>
  <si>
    <t>羽村市</t>
  </si>
  <si>
    <t>沼田市</t>
  </si>
  <si>
    <t>連絡先</t>
    <rPh sb="0" eb="3">
      <t>レンラクサキ</t>
    </rPh>
    <phoneticPr fontId="21"/>
  </si>
  <si>
    <t>改善後の
賃金要件を
満たす職員は
０人であって、
令和８年度
特例要件
は満たす／誓約する</t>
    <rPh sb="42" eb="44">
      <t>セイヤク</t>
    </rPh>
    <phoneticPr fontId="21"/>
  </si>
  <si>
    <t>高根沢町</t>
  </si>
  <si>
    <t>栗原市</t>
  </si>
  <si>
    <t>72</t>
  </si>
  <si>
    <t>豊明市</t>
  </si>
  <si>
    <t>氏名</t>
    <rPh sb="0" eb="2">
      <t>シメイ</t>
    </rPh>
    <phoneticPr fontId="21"/>
  </si>
  <si>
    <t>夜間対応型訪問介護Ⅴ</t>
  </si>
  <si>
    <t>鶴岡市</t>
  </si>
  <si>
    <t>介護予防認知症対応型共同生活介護（短期利用型）</t>
    <rPh sb="0" eb="2">
      <t>カイゴ</t>
    </rPh>
    <rPh sb="2" eb="4">
      <t>ヨボウ</t>
    </rPh>
    <phoneticPr fontId="21"/>
  </si>
  <si>
    <t>円</t>
    <rPh sb="0" eb="1">
      <t>エン</t>
    </rPh>
    <phoneticPr fontId="21"/>
  </si>
  <si>
    <t>豊能町</t>
  </si>
  <si>
    <t>高知県</t>
  </si>
  <si>
    <t>長崎県</t>
  </si>
  <si>
    <t>曽爾村</t>
  </si>
  <si>
    <t>法人番号</t>
  </si>
  <si>
    <t>サービス名</t>
    <rPh sb="4" eb="5">
      <t>メイ</t>
    </rPh>
    <phoneticPr fontId="21"/>
  </si>
  <si>
    <t>一月あたり介護報酬総単位数（処遇改善加算を除く）[単位]
(a)</t>
  </si>
  <si>
    <t>八郎潟町</t>
  </si>
  <si>
    <t>（ア）任用要件・賃金体系の整備等</t>
    <rPh sb="3" eb="5">
      <t>ニンヨウ</t>
    </rPh>
    <rPh sb="5" eb="7">
      <t>ヨウケン</t>
    </rPh>
    <phoneticPr fontId="21"/>
  </si>
  <si>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</si>
  <si>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岡谷市</t>
  </si>
  <si>
    <t>入間市</t>
  </si>
  <si>
    <t>本山町</t>
  </si>
  <si>
    <t>介護保険
事業所番号</t>
    <rPh sb="0" eb="2">
      <t>カイゴ</t>
    </rPh>
    <rPh sb="2" eb="4">
      <t>ホケン</t>
    </rPh>
    <rPh sb="5" eb="8">
      <t>ジギョウショ</t>
    </rPh>
    <rPh sb="8" eb="10">
      <t>バンゴウ</t>
    </rPh>
    <phoneticPr fontId="21"/>
  </si>
  <si>
    <t>介護予防サービスの事業所数</t>
    <rPh sb="0" eb="2">
      <t>カイゴ</t>
    </rPh>
    <rPh sb="2" eb="4">
      <t>ヨボウ</t>
    </rPh>
    <rPh sb="9" eb="12">
      <t>ジギョウショ</t>
    </rPh>
    <rPh sb="12" eb="13">
      <t>スウ</t>
    </rPh>
    <phoneticPr fontId="21"/>
  </si>
  <si>
    <t>総合事業</t>
    <rPh sb="0" eb="2">
      <t>ソウゴウ</t>
    </rPh>
    <rPh sb="2" eb="4">
      <t>ジギョウ</t>
    </rPh>
    <phoneticPr fontId="21"/>
  </si>
  <si>
    <t>豊頃町</t>
  </si>
  <si>
    <t>書類作成
担当者</t>
  </si>
  <si>
    <t>北区</t>
    <rPh sb="0" eb="2">
      <t>キタク</t>
    </rPh>
    <phoneticPr fontId="95"/>
  </si>
  <si>
    <t>（記入済みのサービスの事業所数）</t>
    <rPh sb="1" eb="3">
      <t>キニュウ</t>
    </rPh>
    <rPh sb="3" eb="4">
      <t>ス</t>
    </rPh>
    <rPh sb="11" eb="14">
      <t>ジギョウショ</t>
    </rPh>
    <rPh sb="14" eb="15">
      <t>スウ</t>
    </rPh>
    <phoneticPr fontId="21"/>
  </si>
  <si>
    <t>連絡先</t>
  </si>
  <si>
    <t>大和町</t>
  </si>
  <si>
    <t>松川村</t>
  </si>
  <si>
    <t>参考１ （ア）・（イ）（任用要件・賃金体系の整備等、研修の実施等）の概要</t>
    <rPh sb="0" eb="2">
      <t>サンコウ</t>
    </rPh>
    <rPh sb="34" eb="36">
      <t>ガイヨウ</t>
    </rPh>
    <phoneticPr fontId="21"/>
  </si>
  <si>
    <t>番号</t>
    <rPh sb="0" eb="2">
      <t>バンゴウ</t>
    </rPh>
    <phoneticPr fontId="21"/>
  </si>
  <si>
    <t>E-mail</t>
  </si>
  <si>
    <t>棚倉町</t>
  </si>
  <si>
    <t>町田市</t>
    <rPh sb="0" eb="3">
      <t>マチダシ</t>
    </rPh>
    <phoneticPr fontId="95"/>
  </si>
  <si>
    <t>①</t>
  </si>
  <si>
    <t>３　加算の対象事業所に関する情報</t>
    <rPh sb="2" eb="4">
      <t>カサン</t>
    </rPh>
    <phoneticPr fontId="21"/>
  </si>
  <si>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</si>
  <si>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新島村</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</si>
  <si>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</si>
  <si>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月～令和</t>
    <rPh sb="0" eb="1">
      <t>ツキ</t>
    </rPh>
    <rPh sb="2" eb="4">
      <t>レイワ</t>
    </rPh>
    <phoneticPr fontId="21"/>
  </si>
  <si>
    <t>三条市</t>
  </si>
  <si>
    <t>（</t>
  </si>
  <si>
    <t>長野市</t>
  </si>
  <si>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</si>
  <si>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処遇改善加算Ⅰイ</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</si>
  <si>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</si>
  <si>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伊仙町</t>
  </si>
  <si>
    <t>短期利用型サービスの事業所数</t>
    <rPh sb="0" eb="5">
      <t>タンキリヨウガタ</t>
    </rPh>
    <rPh sb="10" eb="13">
      <t>ジギョウショ</t>
    </rPh>
    <rPh sb="13" eb="14">
      <t>スウ</t>
    </rPh>
    <phoneticPr fontId="21"/>
  </si>
  <si>
    <t>総合事業サービスの事業所数</t>
    <rPh sb="0" eb="2">
      <t>ソウゴウ</t>
    </rPh>
    <rPh sb="2" eb="4">
      <t>ジギョウ</t>
    </rPh>
    <rPh sb="9" eb="12">
      <t>ジギョウショ</t>
    </rPh>
    <rPh sb="12" eb="13">
      <t>スウ</t>
    </rPh>
    <phoneticPr fontId="21"/>
  </si>
  <si>
    <t>福山市</t>
  </si>
  <si>
    <t>浜中町</t>
  </si>
  <si>
    <t>南会津町</t>
  </si>
  <si>
    <t>その他サービスの事業所数</t>
    <rPh sb="2" eb="3">
      <t>タ</t>
    </rPh>
    <rPh sb="8" eb="11">
      <t>ジギョウショ</t>
    </rPh>
    <rPh sb="11" eb="12">
      <t>スウ</t>
    </rPh>
    <phoneticPr fontId="21"/>
  </si>
  <si>
    <t>前橋市</t>
  </si>
  <si>
    <t>鹿児島県</t>
  </si>
  <si>
    <t>大刀洗町</t>
  </si>
  <si>
    <t>介護保険事業所番号</t>
    <rPh sb="0" eb="2">
      <t>カイゴ</t>
    </rPh>
    <rPh sb="2" eb="4">
      <t>ホケン</t>
    </rPh>
    <rPh sb="4" eb="6">
      <t>ジギョウ</t>
    </rPh>
    <rPh sb="6" eb="7">
      <t>ショ</t>
    </rPh>
    <rPh sb="7" eb="9">
      <t>バンゴウ</t>
    </rPh>
    <phoneticPr fontId="21"/>
  </si>
  <si>
    <t>港区</t>
    <rPh sb="0" eb="2">
      <t>ミナトク</t>
    </rPh>
    <phoneticPr fontId="95"/>
  </si>
  <si>
    <t>指定権者名</t>
    <rPh sb="0" eb="2">
      <t>シテイ</t>
    </rPh>
    <rPh sb="2" eb="3">
      <t>ケン</t>
    </rPh>
    <rPh sb="3" eb="4">
      <t>ジャ</t>
    </rPh>
    <rPh sb="4" eb="5">
      <t>メイ</t>
    </rPh>
    <phoneticPr fontId="21"/>
  </si>
  <si>
    <t>夜間対応型訪問介護R8</t>
  </si>
  <si>
    <t>岐阜県</t>
  </si>
  <si>
    <t>介護予防認知症対応型通所介護Ⅴ</t>
  </si>
  <si>
    <t>●年以上</t>
  </si>
  <si>
    <t>法人所在地</t>
    <rPh sb="0" eb="2">
      <t>ホウジン</t>
    </rPh>
    <rPh sb="2" eb="5">
      <t>ショザイチ</t>
    </rPh>
    <phoneticPr fontId="21"/>
  </si>
  <si>
    <t>④の記入状況チェック</t>
    <rPh sb="2" eb="4">
      <t>キニュウ</t>
    </rPh>
    <rPh sb="4" eb="6">
      <t>ジョウキョウ</t>
    </rPh>
    <phoneticPr fontId="21"/>
  </si>
  <si>
    <t>事業所名</t>
    <rPh sb="0" eb="2">
      <t>ジギョウ</t>
    </rPh>
    <rPh sb="2" eb="3">
      <t>ショ</t>
    </rPh>
    <rPh sb="3" eb="4">
      <t>メイ</t>
    </rPh>
    <phoneticPr fontId="21"/>
  </si>
  <si>
    <t>精華町</t>
  </si>
  <si>
    <t>）</t>
  </si>
  <si>
    <t>サービスコード</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</si>
  <si>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</si>
  <si>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洞爺湖町</t>
  </si>
  <si>
    <t>古平町</t>
  </si>
  <si>
    <t>大子町</t>
  </si>
  <si>
    <t>愛媛県</t>
  </si>
  <si>
    <t>介護職員等処遇改善加算 処遇改善計画書（令和８年度）</t>
  </si>
  <si>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</si>
  <si>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富士見市</t>
  </si>
  <si>
    <t>㉗利用者本位のケア方針など介護保険や法人の理念等を定期的に学ぶ機会の提供</t>
  </si>
  <si>
    <t>書類作成担当者</t>
    <rPh sb="0" eb="2">
      <t>ショルイ</t>
    </rPh>
    <rPh sb="2" eb="4">
      <t>サクセイ</t>
    </rPh>
    <rPh sb="4" eb="7">
      <t>タントウシャ</t>
    </rPh>
    <phoneticPr fontId="21"/>
  </si>
  <si>
    <t>！キャリアパス要件Ⅳの欄に「×」があるのに、左のチェックボックスにチェック（✔）が入っていません。</t>
    <rPh sb="7" eb="9">
      <t>ヨウケン</t>
    </rPh>
    <rPh sb="11" eb="12">
      <t>ラン</t>
    </rPh>
    <rPh sb="22" eb="23">
      <t>ヒダリ</t>
    </rPh>
    <phoneticPr fontId="21"/>
  </si>
  <si>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</si>
  <si>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併設本体施設において処遇改善加算Ⅰの届出あり</t>
  </si>
  <si>
    <t>【記入上の注意】</t>
    <rPh sb="1" eb="3">
      <t>キニュウ</t>
    </rPh>
    <rPh sb="3" eb="4">
      <t>ジョウ</t>
    </rPh>
    <rPh sb="5" eb="7">
      <t>チュウイ</t>
    </rPh>
    <phoneticPr fontId="21"/>
  </si>
  <si>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</si>
  <si>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（イ）研修の実施等</t>
    <rPh sb="3" eb="5">
      <t>ケンシュウ</t>
    </rPh>
    <rPh sb="6" eb="8">
      <t>ジッシ</t>
    </rPh>
    <phoneticPr fontId="21"/>
  </si>
  <si>
    <t>松伏町</t>
  </si>
  <si>
    <t>・</t>
  </si>
  <si>
    <t>北斗市</t>
  </si>
  <si>
    <t>御殿場市</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</si>
  <si>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</si>
  <si>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</si>
  <si>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大野町</t>
  </si>
  <si>
    <t>小牧市</t>
  </si>
  <si>
    <t xml:space="preserve">（１）月額賃金改善要件（処遇改善加算Ⅳの1/2以上の月額賃金改善）　
</t>
    <rPh sb="3" eb="5">
      <t>ゲツガク</t>
    </rPh>
    <rPh sb="5" eb="7">
      <t>チンギン</t>
    </rPh>
    <rPh sb="7" eb="9">
      <t>カイゼン</t>
    </rPh>
    <rPh sb="9" eb="11">
      <t>ヨウケン</t>
    </rPh>
    <phoneticPr fontId="21"/>
  </si>
  <si>
    <t>阿武町</t>
  </si>
  <si>
    <t>（２）キャリアパス要件Ⅰ・Ⅱ（任用要件・賃金体系の整備等、研修の実施等）　</t>
    <rPh sb="9" eb="11">
      <t>ヨウケン</t>
    </rPh>
    <phoneticPr fontId="21"/>
  </si>
  <si>
    <t>山田町</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</si>
  <si>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</si>
  <si>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⑥キャリアパス要件Ⅴ</t>
  </si>
  <si>
    <t>泊村</t>
    <rPh sb="0" eb="2">
      <t>トマリムラ</t>
    </rPh>
    <phoneticPr fontId="95"/>
  </si>
  <si>
    <t>厚真町</t>
  </si>
  <si>
    <t>益子町</t>
  </si>
  <si>
    <t>稲城市</t>
  </si>
  <si>
    <t>大和高田市</t>
  </si>
  <si>
    <t>南小国町</t>
  </si>
  <si>
    <t>別紙様式2-2、2-3「①月額賃金改善要件」の欄から転記</t>
    <rPh sb="13" eb="15">
      <t>ゲツガク</t>
    </rPh>
    <rPh sb="15" eb="17">
      <t>チンギン</t>
    </rPh>
    <rPh sb="17" eb="19">
      <t>カイゼン</t>
    </rPh>
    <rPh sb="19" eb="21">
      <t>ヨウケン</t>
    </rPh>
    <phoneticPr fontId="21"/>
  </si>
  <si>
    <t>敦賀市</t>
  </si>
  <si>
    <t>74</t>
  </si>
  <si>
    <t>美深町</t>
  </si>
  <si>
    <t>給与
（常勤・月給）</t>
    <rPh sb="7" eb="9">
      <t>ゲッキュウ</t>
    </rPh>
    <phoneticPr fontId="21"/>
  </si>
  <si>
    <t>コード値</t>
    <rPh sb="3" eb="4">
      <t>チ</t>
    </rPh>
    <phoneticPr fontId="21"/>
  </si>
  <si>
    <t>令和８年度の処遇改善加算Ⅳ相当の見込額の１／２</t>
    <rPh sb="13" eb="15">
      <t>ソウトウ</t>
    </rPh>
    <rPh sb="16" eb="18">
      <t>ミコミ</t>
    </rPh>
    <rPh sb="18" eb="19">
      <t>ガク</t>
    </rPh>
    <phoneticPr fontId="21"/>
  </si>
  <si>
    <t>！②が①以上になっていません。</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</si>
  <si>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</si>
  <si>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表９　令和８年度特例要件</t>
    <rPh sb="0" eb="1">
      <t>ヒョウ</t>
    </rPh>
    <rPh sb="3" eb="5">
      <t>レイワ</t>
    </rPh>
    <rPh sb="6" eb="8">
      <t>ネンド</t>
    </rPh>
    <rPh sb="8" eb="10">
      <t>トクレイ</t>
    </rPh>
    <rPh sb="10" eb="12">
      <t>ヨウケン</t>
    </rPh>
    <phoneticPr fontId="21"/>
  </si>
  <si>
    <t>介護予防認知症対応型共同生活介護Ⅴ</t>
  </si>
  <si>
    <t>表８　選択様式（誓約簡略化）</t>
    <rPh sb="0" eb="1">
      <t>ヒョウ</t>
    </rPh>
    <rPh sb="3" eb="5">
      <t>センタク</t>
    </rPh>
    <rPh sb="5" eb="7">
      <t>ヨウシキ</t>
    </rPh>
    <rPh sb="8" eb="10">
      <t>セイヤク</t>
    </rPh>
    <rPh sb="10" eb="12">
      <t>カンリャク</t>
    </rPh>
    <rPh sb="12" eb="13">
      <t>カ</t>
    </rPh>
    <phoneticPr fontId="21"/>
  </si>
  <si>
    <t>令和８年４月以降の処遇改善加算の配分方法のうち、基本給等（基本給又は決まって毎月支払われる手当）で行っている賃金改善の総額を記入してください。</t>
  </si>
  <si>
    <t>広島市</t>
  </si>
  <si>
    <t>４、５月</t>
    <rPh sb="3" eb="4">
      <t>ガツ</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</si>
  <si>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</si>
  <si>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６月以降</t>
    <rPh sb="1" eb="2">
      <t>ガツ</t>
    </rPh>
    <rPh sb="2" eb="4">
      <t>イコウ</t>
    </rPh>
    <phoneticPr fontId="21"/>
  </si>
  <si>
    <t>⑤の必要数チェック（併設の場合０）</t>
    <rPh sb="2" eb="4">
      <t>ヒツヨウ</t>
    </rPh>
    <rPh sb="4" eb="5">
      <t>スウ</t>
    </rPh>
    <rPh sb="10" eb="12">
      <t>ヘイセツ</t>
    </rPh>
    <rPh sb="13" eb="15">
      <t>バアイ</t>
    </rPh>
    <phoneticPr fontId="21"/>
  </si>
  <si>
    <t>都道
府県</t>
    <rPh sb="0" eb="2">
      <t>トドウ</t>
    </rPh>
    <rPh sb="3" eb="5">
      <t>フケン</t>
    </rPh>
    <phoneticPr fontId="21"/>
  </si>
  <si>
    <t>焼津市</t>
  </si>
  <si>
    <t>処遇改善加算Ⅰ・Ⅱ・Ⅲ・Ⅳを算定する事業所数</t>
    <rPh sb="14" eb="16">
      <t>サンテイ</t>
    </rPh>
    <rPh sb="18" eb="21">
      <t>ジギョウショ</t>
    </rPh>
    <rPh sb="21" eb="22">
      <t>スウ</t>
    </rPh>
    <phoneticPr fontId="21"/>
  </si>
  <si>
    <t>守谷市</t>
  </si>
  <si>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</si>
  <si>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別紙様式2-2、2-3「②・③キャリアパス要件Ⅰ・Ⅱ」の欄から転記（詳しい要件の内容は参考シートを参照）</t>
    <rPh sb="31" eb="33">
      <t>テンキ</t>
    </rPh>
    <phoneticPr fontId="21"/>
  </si>
  <si>
    <t>大阪府</t>
    <rPh sb="0" eb="3">
      <t>オオサカフ</t>
    </rPh>
    <phoneticPr fontId="21"/>
  </si>
  <si>
    <t>南富良野町</t>
  </si>
  <si>
    <t>キャリアパス要件Ⅳ</t>
  </si>
  <si>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</si>
  <si>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</si>
  <si>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処遇改善加算Ⅰ・Ⅱ・Ⅲを算定する事業所数</t>
    <rPh sb="12" eb="14">
      <t>サンテイ</t>
    </rPh>
    <rPh sb="16" eb="19">
      <t>ジギョウショ</t>
    </rPh>
    <rPh sb="19" eb="20">
      <t>スウ</t>
    </rPh>
    <phoneticPr fontId="21"/>
  </si>
  <si>
    <t>地域密着型通所介護</t>
  </si>
  <si>
    <t>地域密着型特定施設入居者生活介護R8</t>
  </si>
  <si>
    <t>下市町</t>
  </si>
  <si>
    <t>蕨市</t>
  </si>
  <si>
    <t>丹波篠山市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</si>
  <si>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</si>
  <si>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ふじみ野市</t>
  </si>
  <si>
    <t>（４）キャリアパス要件Ⅳ（改善後の賃金要件）</t>
    <rPh sb="9" eb="11">
      <t>ヨウケン</t>
    </rPh>
    <phoneticPr fontId="21"/>
  </si>
  <si>
    <t>本庄市</t>
  </si>
  <si>
    <t>上富良野町</t>
  </si>
  <si>
    <t>上牧町</t>
  </si>
  <si>
    <t>認知症対応型共同生活介護R8</t>
  </si>
  <si>
    <t>処遇改善加算Ⅰ・Ⅱを算定する事業所数</t>
    <rPh sb="10" eb="12">
      <t>サンテイ</t>
    </rPh>
    <rPh sb="14" eb="17">
      <t>ジギョウショ</t>
    </rPh>
    <rPh sb="17" eb="18">
      <t>スウ</t>
    </rPh>
    <phoneticPr fontId="21"/>
  </si>
  <si>
    <t>別紙様式2-2、2-3「⑤キャリアパス要件Ⅳ」の欄から転記</t>
  </si>
  <si>
    <t>長万部町</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</si>
  <si>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</si>
  <si>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津市</t>
  </si>
  <si>
    <t>豊田市</t>
  </si>
  <si>
    <t>「改善後の賃金が年額440万円以上となる者」を設定できない場合その理由</t>
    <rPh sb="1" eb="3">
      <t>カイゼン</t>
    </rPh>
    <phoneticPr fontId="21"/>
  </si>
  <si>
    <t>介護予防小規模多機能型居宅介護_短期利用型_Ⅴ</t>
  </si>
  <si>
    <t>雲仙市</t>
  </si>
  <si>
    <t>介護医療院サービスⅤ</t>
  </si>
  <si>
    <t>板倉町</t>
  </si>
  <si>
    <t>須崎市</t>
  </si>
  <si>
    <t>三島市</t>
  </si>
  <si>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5"/>
  </si>
  <si>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5"/>
  </si>
  <si>
    <t>横瀬町</t>
  </si>
  <si>
    <t>養父市</t>
  </si>
  <si>
    <t>南九州市</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</si>
  <si>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</si>
  <si>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小笠原村</t>
  </si>
  <si>
    <t>七尾市</t>
  </si>
  <si>
    <t>羽咋市</t>
  </si>
  <si>
    <t>⇒</t>
  </si>
  <si>
    <t>その他（</t>
    <rPh sb="2" eb="3">
      <t>タ</t>
    </rPh>
    <phoneticPr fontId="21"/>
  </si>
  <si>
    <t>歌志内市</t>
  </si>
  <si>
    <t>小美玉市</t>
  </si>
  <si>
    <t>！「その他」にチェック（✔）した場合は、具体的な内容を記載してください。</t>
    <rPh sb="4" eb="5">
      <t>タ</t>
    </rPh>
    <rPh sb="16" eb="18">
      <t>バアイ</t>
    </rPh>
    <rPh sb="20" eb="22">
      <t>グタイ</t>
    </rPh>
    <phoneticPr fontId="21"/>
  </si>
  <si>
    <t>特例要件上の○の処理</t>
    <rPh sb="0" eb="2">
      <t>トクレイ</t>
    </rPh>
    <rPh sb="2" eb="4">
      <t>ヨウケン</t>
    </rPh>
    <rPh sb="4" eb="5">
      <t>ウエ</t>
    </rPh>
    <rPh sb="8" eb="10">
      <t>ショリ</t>
    </rPh>
    <phoneticPr fontId="21"/>
  </si>
  <si>
    <t>御杖村</t>
  </si>
  <si>
    <t>（５）キャリアパス要件Ⅴ（介護福祉士等の配置要件）　</t>
    <rPh sb="9" eb="11">
      <t>ヨウケン</t>
    </rPh>
    <phoneticPr fontId="21"/>
  </si>
  <si>
    <t>那覇市</t>
  </si>
  <si>
    <t>処遇改善加算Ⅰを算定する事業所数</t>
    <rPh sb="8" eb="10">
      <t>サンテイ</t>
    </rPh>
    <rPh sb="12" eb="15">
      <t>ジギョウショ</t>
    </rPh>
    <rPh sb="15" eb="16">
      <t>スウ</t>
    </rPh>
    <phoneticPr fontId="21"/>
  </si>
  <si>
    <t>奥多摩町</t>
  </si>
  <si>
    <t>名寄市</t>
  </si>
  <si>
    <t>サービス提供体制強化加算Ⅱ</t>
    <rPh sb="4" eb="8">
      <t>テイキョウ</t>
    </rPh>
    <rPh sb="8" eb="10">
      <t>キョウカ</t>
    </rPh>
    <rPh sb="10" eb="12">
      <t>カサン</t>
    </rPh>
    <phoneticPr fontId="95"/>
  </si>
  <si>
    <t>久慈市</t>
  </si>
  <si>
    <t>八女市</t>
  </si>
  <si>
    <t>尼崎市</t>
  </si>
  <si>
    <t>別紙様式2-2、2-3「⑥キャリアパス要件Ⅴ」の欄から転記</t>
    <rPh sb="19" eb="21">
      <t>ヨウケン</t>
    </rPh>
    <phoneticPr fontId="21"/>
  </si>
  <si>
    <t>キャリアパス要件Ⅳ</t>
    <rPh sb="6" eb="8">
      <t>ヨウケン</t>
    </rPh>
    <phoneticPr fontId="21"/>
  </si>
  <si>
    <t>（６）職場環境等要件</t>
  </si>
  <si>
    <t>千葉市</t>
  </si>
  <si>
    <t>豊根村</t>
  </si>
  <si>
    <t>鳥栖市</t>
  </si>
  <si>
    <t>令和８年度特例要件を満たす。</t>
    <rPh sb="0" eb="2">
      <t>レイワ</t>
    </rPh>
    <rPh sb="3" eb="5">
      <t>ネンド</t>
    </rPh>
    <rPh sb="5" eb="7">
      <t>トクレイ</t>
    </rPh>
    <rPh sb="7" eb="9">
      <t>ヨウケン</t>
    </rPh>
    <rPh sb="10" eb="11">
      <t>ミ</t>
    </rPh>
    <phoneticPr fontId="21"/>
  </si>
  <si>
    <t>桑名市</t>
  </si>
  <si>
    <t>摂津市</t>
  </si>
  <si>
    <t>令和８年度特例要件を満たすことで、当該要件を満たすこととしている場合、
令和９年３月末までに職場環境等要件に係る取組を行うことを誓約します。</t>
  </si>
  <si>
    <t>改善後の賃金が年額440万円以上となる者の数</t>
  </si>
  <si>
    <t>27</t>
  </si>
  <si>
    <t>成田市</t>
  </si>
  <si>
    <t>取手市</t>
  </si>
  <si>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</si>
  <si>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【４，５月は、処遇改善加算Ⅰ・Ⅱ、６月以降は処遇改善加算Ⅰイ、Ⅰロ、Ⅱイ、Ⅱロが対象】</t>
    <rPh sb="40" eb="42">
      <t>タイショウ</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</si>
  <si>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</si>
  <si>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大田区</t>
    <rPh sb="0" eb="3">
      <t>オオタク</t>
    </rPh>
    <phoneticPr fontId="95"/>
  </si>
  <si>
    <t>普代村</t>
  </si>
  <si>
    <t>府中市</t>
  </si>
  <si>
    <t>香美町</t>
  </si>
  <si>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</si>
  <si>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川内村</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</si>
  <si>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</si>
  <si>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遠別町</t>
  </si>
  <si>
    <t>有田川町</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</si>
  <si>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</si>
  <si>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</si>
  <si>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対馬市</t>
  </si>
  <si>
    <t>区分</t>
    <rPh sb="0" eb="2">
      <t>クブン</t>
    </rPh>
    <phoneticPr fontId="21"/>
  </si>
  <si>
    <t>相模原市</t>
  </si>
  <si>
    <t>内容</t>
    <rPh sb="0" eb="2">
      <t>ナイヨウ</t>
    </rPh>
    <phoneticPr fontId="21"/>
  </si>
  <si>
    <t>特定施設入居者生活介護（短期利用型）</t>
    <rPh sb="12" eb="14">
      <t>タンキ</t>
    </rPh>
    <rPh sb="14" eb="16">
      <t>リヨウ</t>
    </rPh>
    <rPh sb="16" eb="17">
      <t>ガタ</t>
    </rPh>
    <phoneticPr fontId="21"/>
  </si>
  <si>
    <t>東根市</t>
  </si>
  <si>
    <t>余市町</t>
  </si>
  <si>
    <t>1級地</t>
    <rPh sb="1" eb="3">
      <t>キュウチ</t>
    </rPh>
    <phoneticPr fontId="21"/>
  </si>
  <si>
    <t>両立支援
・
多様な
働き方の
推進</t>
  </si>
  <si>
    <t>奥出雲町</t>
  </si>
  <si>
    <t>通所型サービス_独自_19人未満_Ⅴ</t>
  </si>
  <si>
    <t>東松山市</t>
  </si>
  <si>
    <t>選択項目数</t>
    <rPh sb="0" eb="2">
      <t>センタク</t>
    </rPh>
    <rPh sb="2" eb="5">
      <t>コウモクスウ</t>
    </rPh>
    <phoneticPr fontId="21"/>
  </si>
  <si>
    <t>入力必要数判定</t>
    <rPh sb="0" eb="2">
      <t>ニュウリョク</t>
    </rPh>
    <rPh sb="2" eb="5">
      <t>ヒツヨウスウ</t>
    </rPh>
    <rPh sb="5" eb="7">
      <t>ハンテイ</t>
    </rPh>
    <phoneticPr fontId="21"/>
  </si>
  <si>
    <t>改善後の賃金要件を満たす職員は０人であって、令和８年度特例要件は満たす事業所数</t>
    <rPh sb="22" eb="23">
      <t>レイ</t>
    </rPh>
    <phoneticPr fontId="21"/>
  </si>
  <si>
    <t>地域密着型特定施設入居者生活介護（短期利用型）</t>
  </si>
  <si>
    <t>地域密着型特定施設入居者生活介護</t>
  </si>
  <si>
    <t>龍郷町</t>
  </si>
  <si>
    <t>喜茂別町</t>
  </si>
  <si>
    <t>入職促進に向けた取組</t>
  </si>
  <si>
    <t>西興部村</t>
  </si>
  <si>
    <t>①法人や事業所の経営理念やケア方針・人材育成方針、その実現のための施策・仕組みなどの明確化</t>
  </si>
  <si>
    <t>松川町</t>
  </si>
  <si>
    <t>湧別町</t>
  </si>
  <si>
    <t>②事業者の共同による採用・人事ローテーション・研修のための制度構築</t>
  </si>
  <si>
    <t>生産性向上や協働化の取組を行っていること</t>
    <rPh sb="10" eb="12">
      <t>トリクミ</t>
    </rPh>
    <rPh sb="13" eb="14">
      <t>オコナ</t>
    </rPh>
    <phoneticPr fontId="21"/>
  </si>
  <si>
    <t>標津町</t>
  </si>
  <si>
    <t>王滝村</t>
  </si>
  <si>
    <t>介護予防短期入所療養介護_介護医療院_R8</t>
  </si>
  <si>
    <t>39</t>
  </si>
  <si>
    <t>平泉町</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</si>
  <si>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</si>
  <si>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介護予防認知症対応型通所介護</t>
  </si>
  <si>
    <t>その他</t>
    <rPh sb="2" eb="3">
      <t>タ</t>
    </rPh>
    <phoneticPr fontId="21"/>
  </si>
  <si>
    <t>55</t>
  </si>
  <si>
    <t>④職業体験の受入れや地域行事への参加や主催等による職業魅力度向上の取組の実施</t>
  </si>
  <si>
    <t>高山村</t>
  </si>
  <si>
    <t>安田町</t>
  </si>
  <si>
    <t>資質の向上やキャリアアップに
向けた支援</t>
  </si>
  <si>
    <t>上越市</t>
  </si>
  <si>
    <t>腰痛を
含む
心身の
健康管理</t>
  </si>
  <si>
    <t>土佐市</t>
  </si>
  <si>
    <t>東京都</t>
    <rPh sb="0" eb="2">
      <t>トウキョウ</t>
    </rPh>
    <rPh sb="2" eb="3">
      <t>ト</t>
    </rPh>
    <phoneticPr fontId="21"/>
  </si>
  <si>
    <t>サービス提供体制強化加算Ⅰ</t>
    <rPh sb="4" eb="8">
      <t>テイキョウ</t>
    </rPh>
    <rPh sb="8" eb="10">
      <t>キョウカ</t>
    </rPh>
    <rPh sb="10" eb="12">
      <t>カサン</t>
    </rPh>
    <phoneticPr fontId="95"/>
  </si>
  <si>
    <t>町田市</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</si>
  <si>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</si>
  <si>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t>
  </si>
  <si>
    <t>土浦市</t>
  </si>
  <si>
    <t>つくばみらい市</t>
  </si>
  <si>
    <t>都農町</t>
  </si>
  <si>
    <t>印西市</t>
  </si>
  <si>
    <t>●年以上</t>
    <rPh sb="1" eb="2">
      <t>ネン</t>
    </rPh>
    <rPh sb="2" eb="4">
      <t>イジョウ</t>
    </rPh>
    <phoneticPr fontId="21"/>
  </si>
  <si>
    <t>東京都</t>
  </si>
  <si>
    <t>明石市</t>
  </si>
  <si>
    <t>姶良市</t>
  </si>
  <si>
    <t>54</t>
  </si>
  <si>
    <t>処遇改善加算</t>
    <rPh sb="0" eb="2">
      <t>ショグウ</t>
    </rPh>
    <rPh sb="2" eb="4">
      <t>カイゼン</t>
    </rPh>
    <rPh sb="4" eb="6">
      <t>カサン</t>
    </rPh>
    <phoneticPr fontId="21"/>
  </si>
  <si>
    <t>⑥研修の受講やキャリア段位制度と人事考課との連動</t>
  </si>
  <si>
    <t>鎌倉市</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</si>
  <si>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</si>
  <si>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大野市</t>
  </si>
  <si>
    <t>資質向上のための計画に沿って、研修機会の提供又は技術指導等を実施するとともに、職員の能力評価を行う。</t>
  </si>
  <si>
    <t>標茶町</t>
  </si>
  <si>
    <t>西宮市</t>
  </si>
  <si>
    <t>⑦エルダー・メンター（仕事やメンタル面のサポート等をする担当者）制度等導入</t>
  </si>
  <si>
    <t>雄武町</t>
  </si>
  <si>
    <t>⑧上位者・担当者等によるキャリア面談など、キャリアアップ・働き方等に関する定期的な相談の機会の確保</t>
  </si>
  <si>
    <t>明和町</t>
  </si>
  <si>
    <t>昭和町</t>
  </si>
  <si>
    <t>池田市</t>
  </si>
  <si>
    <t>短期利用型</t>
    <rPh sb="0" eb="5">
      <t>タンキリヨウガタ</t>
    </rPh>
    <phoneticPr fontId="21"/>
  </si>
  <si>
    <t>杉並区</t>
  </si>
  <si>
    <t>⑦の記入状況チェック</t>
    <rPh sb="2" eb="4">
      <t>キニュウ</t>
    </rPh>
    <rPh sb="4" eb="6">
      <t>ジョウキョウ</t>
    </rPh>
    <phoneticPr fontId="21"/>
  </si>
  <si>
    <t>⑨子育てや家族等の介護等と仕事の両立を目指す者のための休業制度等の充実、事業所内託児施設の整備</t>
  </si>
  <si>
    <t>新地町</t>
  </si>
  <si>
    <t>⑩職員の事情等の状況に応じた勤務シフトや短時間正規職員制度の導入、職員の希望に即した非正規職員から正規職員への転換の制度等の整備</t>
  </si>
  <si>
    <t>瀬戸市</t>
  </si>
  <si>
    <t>ニセコ町</t>
  </si>
  <si>
    <t>田村市</t>
  </si>
  <si>
    <t>介護老人保健施設サービスⅤ</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</si>
  <si>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</si>
  <si>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⑤キャリアパス要件Ⅳ</t>
    <rPh sb="7" eb="9">
      <t>ヨウケン</t>
    </rPh>
    <phoneticPr fontId="95"/>
  </si>
  <si>
    <t>千代田区</t>
    <rPh sb="0" eb="4">
      <t>チヨダク</t>
    </rPh>
    <phoneticPr fontId="95"/>
  </si>
  <si>
    <t>日</t>
    <rPh sb="0" eb="1">
      <t>ニチ</t>
    </rPh>
    <phoneticPr fontId="21"/>
  </si>
  <si>
    <t>岩沼市</t>
  </si>
  <si>
    <t>⑫有給休暇の取得促進のため、情報共有や複数担当制等により、業務の属人化の解消、業務配分の偏りの解消を行っている</t>
  </si>
  <si>
    <t>⑬業務や福利厚生制度、メンタルヘルス等の職員相談窓口の設置等相談体制の充実</t>
  </si>
  <si>
    <t>上市町</t>
  </si>
  <si>
    <t>生産性
向上のため
の取組</t>
  </si>
  <si>
    <t>上関町</t>
  </si>
  <si>
    <t>阿南町</t>
  </si>
  <si>
    <t>⑮職員の身体の負担軽減のための介護技術の修得支援、職員に対する腰痛対策の研修、管理者に対する雇用管理改善の研修等の実施</t>
    <rPh sb="1" eb="3">
      <t>ショクイン</t>
    </rPh>
    <phoneticPr fontId="21"/>
  </si>
  <si>
    <t>白井市</t>
  </si>
  <si>
    <t>愛西市</t>
  </si>
  <si>
    <t>美里町</t>
  </si>
  <si>
    <t>神栖市</t>
  </si>
  <si>
    <t>鳴沢村</t>
  </si>
  <si>
    <t>⑯事故・トラブルへの対応マニュアル等の作成等の体制の整備</t>
  </si>
  <si>
    <t>剣淵町</t>
  </si>
  <si>
    <t>⑰厚生労働省が示している「生産性向上ガイドライン」に基づき、業務改善活動の体制構築（委員会やプロジェクトチームの立ち上げ、外部の研修会の活用等）を行っている</t>
  </si>
  <si>
    <t>葛城市</t>
  </si>
  <si>
    <t>⑱現場の課題の見える化（課題の抽出、課題の構造化、業務時間調査の実施等）を実施している</t>
  </si>
  <si>
    <t>訪問介護Ⅴ</t>
  </si>
  <si>
    <t>キャリアパス要件Ⅴ</t>
  </si>
  <si>
    <t>⑲５S活動（業務管理の手法の１つ。整理・整頓・清掃・清潔・躾の頭文字をとったもの）等の実践による職場環境の整備を行っている</t>
  </si>
  <si>
    <t>芦別市</t>
  </si>
  <si>
    <t>あわら市</t>
  </si>
  <si>
    <t>柳川市</t>
  </si>
  <si>
    <t>！チェックボックスに必要なチェック（✔）が入っていない項目があります。</t>
    <rPh sb="10" eb="12">
      <t>ヒツヨウ</t>
    </rPh>
    <rPh sb="27" eb="29">
      <t>コウモク</t>
    </rPh>
    <phoneticPr fontId="21"/>
  </si>
  <si>
    <t>⑳業務手順書の作成や、記録・報告様式の工夫等による情報共有や作業負担の軽減を行っている</t>
  </si>
  <si>
    <t>浅口市</t>
  </si>
  <si>
    <t>㉑介護ソフト（記録、情報共有、請求業務転記が不要なもの。）、情報端末（タブレット端末、スマートフォン端末等）の導入</t>
  </si>
  <si>
    <t>㉒介護ロボット（見守り支援、移乗支援、移動支援、排泄支援、入浴支援、介護業務支援等）又はインカム等の職員間の連絡調整の迅速化に資するICT機器（ビジネスチャットツール含む）の導入</t>
  </si>
  <si>
    <t>浦河町</t>
  </si>
  <si>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</si>
  <si>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大洲市</t>
  </si>
  <si>
    <t>②・③の記入状況チェック</t>
    <rPh sb="4" eb="6">
      <t>キニュウ</t>
    </rPh>
    <rPh sb="6" eb="8">
      <t>ジョウキョウ</t>
    </rPh>
    <phoneticPr fontId="21"/>
  </si>
  <si>
    <t>サービス提供体制強化加算Ⅰ又はⅡに準じる市町村独自の加算</t>
  </si>
  <si>
    <t>湯梨浜町</t>
  </si>
  <si>
    <t>渋谷区</t>
    <rPh sb="0" eb="3">
      <t>シブヤク</t>
    </rPh>
    <phoneticPr fontId="95"/>
  </si>
  <si>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</si>
  <si>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寒川町</t>
  </si>
  <si>
    <t>㉔の２　１法人あたり１の施設又は事業所のみを運営するような法人等の小規模事業者であり、㉔の取組を実施している。</t>
  </si>
  <si>
    <t>中央区</t>
    <rPh sb="0" eb="3">
      <t>チュウオウク</t>
    </rPh>
    <phoneticPr fontId="95"/>
  </si>
  <si>
    <t>高山市</t>
  </si>
  <si>
    <t>小郡市</t>
  </si>
  <si>
    <t>七ヶ宿町</t>
  </si>
  <si>
    <t>㉕ミーティング等による職場内コミュニケーションの円滑化による個々の職員の気づきを踏まえた勤務環境やケア内容の改善</t>
  </si>
  <si>
    <t>有田市</t>
  </si>
  <si>
    <t>介護医療院</t>
    <rPh sb="2" eb="4">
      <t>イリョウ</t>
    </rPh>
    <rPh sb="4" eb="5">
      <t>イン</t>
    </rPh>
    <phoneticPr fontId="21"/>
  </si>
  <si>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</si>
  <si>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訪問入浴介護R8</t>
  </si>
  <si>
    <t>㉘ケアの好事例や、利用者やその家族からの謝意等の情報を共有する機会の提供</t>
  </si>
  <si>
    <t>長沼町</t>
  </si>
  <si>
    <t>見える化要件　【４，５月は、処遇改善加算Ⅰ・Ⅱ、６月以降は処遇改善加算Ⅰイ、Ⅰロ、Ⅱイ、Ⅱロが対象】</t>
    <rPh sb="0" eb="1">
      <t>ミ</t>
    </rPh>
    <rPh sb="3" eb="4">
      <t>カ</t>
    </rPh>
    <rPh sb="4" eb="5">
      <t>ヨウ</t>
    </rPh>
    <phoneticPr fontId="21"/>
  </si>
  <si>
    <t>釧路市</t>
  </si>
  <si>
    <t>富岡市</t>
  </si>
  <si>
    <t>浪江町</t>
  </si>
  <si>
    <t>AF</t>
  </si>
  <si>
    <t>実施する周知方法について、チェック（✔）すること。なお、令和８年度中の見込みでも差し支えない。</t>
    <rPh sb="33" eb="34">
      <t>チュウ</t>
    </rPh>
    <rPh sb="35" eb="37">
      <t>ミコミ</t>
    </rPh>
    <rPh sb="40" eb="41">
      <t>サ</t>
    </rPh>
    <rPh sb="42" eb="43">
      <t>ツカ</t>
    </rPh>
    <phoneticPr fontId="21"/>
  </si>
  <si>
    <t>角田市</t>
  </si>
  <si>
    <t>介護予防・短期利用型</t>
    <rPh sb="0" eb="2">
      <t>カイゴ</t>
    </rPh>
    <rPh sb="2" eb="4">
      <t>ヨボウ</t>
    </rPh>
    <rPh sb="5" eb="7">
      <t>タンキ</t>
    </rPh>
    <rPh sb="7" eb="9">
      <t>リヨウ</t>
    </rPh>
    <rPh sb="9" eb="10">
      <t>ガタ</t>
    </rPh>
    <phoneticPr fontId="21"/>
  </si>
  <si>
    <t>塩竈市</t>
  </si>
  <si>
    <t>小規模多機能型居宅介護（短期利用型）</t>
    <rPh sb="12" eb="17">
      <t>タンキリヨウガタ</t>
    </rPh>
    <phoneticPr fontId="21"/>
  </si>
  <si>
    <t>ホームページ
への掲載</t>
    <rPh sb="9" eb="11">
      <t>ケイサイ</t>
    </rPh>
    <phoneticPr fontId="21"/>
  </si>
  <si>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</si>
  <si>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市区町村</t>
    <rPh sb="0" eb="4">
      <t>シクチョウソン</t>
    </rPh>
    <phoneticPr fontId="96"/>
  </si>
  <si>
    <t>塩谷町</t>
  </si>
  <si>
    <t>湯浅町</t>
  </si>
  <si>
    <t>秋田県</t>
  </si>
  <si>
    <t>矢祭町</t>
  </si>
  <si>
    <t>職場環境等要件の28項目のうち、実施する取組項目の自社のホームページへの掲載</t>
    <rPh sb="22" eb="24">
      <t>コウモク</t>
    </rPh>
    <rPh sb="25" eb="27">
      <t>ジシャ</t>
    </rPh>
    <rPh sb="36" eb="38">
      <t>ケイサイ</t>
    </rPh>
    <phoneticPr fontId="21"/>
  </si>
  <si>
    <t>白川町</t>
  </si>
  <si>
    <t>佐久市</t>
  </si>
  <si>
    <t>阿波市</t>
  </si>
  <si>
    <t>東久留米市</t>
  </si>
  <si>
    <t>桜川市</t>
  </si>
  <si>
    <t>（７）令和８年度特例要件</t>
    <rPh sb="3" eb="5">
      <t>レイワ</t>
    </rPh>
    <rPh sb="6" eb="8">
      <t>ネンド</t>
    </rPh>
    <rPh sb="8" eb="10">
      <t>トクレイ</t>
    </rPh>
    <rPh sb="10" eb="12">
      <t>ヨウケン</t>
    </rPh>
    <phoneticPr fontId="21"/>
  </si>
  <si>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</si>
  <si>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通所型サービス（独自／定額）（19人未満）</t>
    <rPh sb="0" eb="2">
      <t>ツウショ</t>
    </rPh>
    <rPh sb="2" eb="3">
      <t>ガタ</t>
    </rPh>
    <rPh sb="8" eb="10">
      <t>ドクジ</t>
    </rPh>
    <rPh sb="11" eb="13">
      <t>テイガク</t>
    </rPh>
    <phoneticPr fontId="21"/>
  </si>
  <si>
    <t>（判定用参考式）</t>
    <rPh sb="1" eb="4">
      <t>ハンテイヨウ</t>
    </rPh>
    <rPh sb="4" eb="6">
      <t>サンコウ</t>
    </rPh>
    <rPh sb="6" eb="7">
      <t>シキ</t>
    </rPh>
    <phoneticPr fontId="21"/>
  </si>
  <si>
    <t>４　要件を満たすことの確認・証明</t>
  </si>
  <si>
    <t>キャリアパス要件Ⅰ・Ⅱ_加算対象</t>
    <rPh sb="6" eb="8">
      <t>ヨウケン</t>
    </rPh>
    <rPh sb="12" eb="14">
      <t>カサン</t>
    </rPh>
    <rPh sb="14" eb="16">
      <t>タイショウ</t>
    </rPh>
    <phoneticPr fontId="21"/>
  </si>
  <si>
    <t>以下の点を確認し、満たしている項目に全てチェック（✔）すること。</t>
  </si>
  <si>
    <t>墨田区</t>
    <rPh sb="0" eb="3">
      <t>スミダク</t>
    </rPh>
    <phoneticPr fontId="95"/>
  </si>
  <si>
    <t>豊富町</t>
  </si>
  <si>
    <t>確認事項</t>
    <rPh sb="0" eb="2">
      <t>カクニン</t>
    </rPh>
    <rPh sb="2" eb="4">
      <t>ジコウ</t>
    </rPh>
    <phoneticPr fontId="21"/>
  </si>
  <si>
    <t>笛吹市</t>
  </si>
  <si>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</si>
  <si>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通所リハビリテーション</t>
  </si>
  <si>
    <t>伯耆町</t>
  </si>
  <si>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</si>
  <si>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期間中に事業所が休廃止した場合には、一時金等により介護職員その他の職員の賃金として配分します。</t>
  </si>
  <si>
    <t>川根本町</t>
  </si>
  <si>
    <t>関川村</t>
  </si>
  <si>
    <t>介護老人福祉施設サービスR8</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</si>
  <si>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</si>
  <si>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大府市</t>
  </si>
  <si>
    <t>―</t>
  </si>
  <si>
    <t>任用要件</t>
    <rPh sb="0" eb="2">
      <t>ニンヨウ</t>
    </rPh>
    <rPh sb="2" eb="4">
      <t>ヨウケン</t>
    </rPh>
    <phoneticPr fontId="21"/>
  </si>
  <si>
    <t>うるま市</t>
  </si>
  <si>
    <t>当別町</t>
  </si>
  <si>
    <t>小浜市</t>
  </si>
  <si>
    <t>美咲町</t>
  </si>
  <si>
    <t>労働保険料の納付が適正に行われています。</t>
    <rPh sb="0" eb="2">
      <t>ロウドウ</t>
    </rPh>
    <rPh sb="2" eb="5">
      <t>ホケンリョウ</t>
    </rPh>
    <rPh sb="6" eb="8">
      <t>ノウフ</t>
    </rPh>
    <rPh sb="9" eb="11">
      <t>テキセイ</t>
    </rPh>
    <rPh sb="12" eb="13">
      <t>オコナ</t>
    </rPh>
    <phoneticPr fontId="21"/>
  </si>
  <si>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</si>
  <si>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上三川町</t>
  </si>
  <si>
    <t>京都府</t>
  </si>
  <si>
    <t>介護予防小規模多機能型居宅介護Ⅴ</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</si>
  <si>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</si>
  <si>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筑北村</t>
  </si>
  <si>
    <t>会議録、周知文書</t>
    <rPh sb="0" eb="3">
      <t>カイギロク</t>
    </rPh>
    <rPh sb="4" eb="6">
      <t>シュウチ</t>
    </rPh>
    <rPh sb="6" eb="8">
      <t>ブンショ</t>
    </rPh>
    <phoneticPr fontId="21"/>
  </si>
  <si>
    <t>サービス提供体制強化加算Ⅰ</t>
  </si>
  <si>
    <t>通所介護R8</t>
  </si>
  <si>
    <t>若桜町</t>
  </si>
  <si>
    <t>占冠村</t>
  </si>
  <si>
    <t>牛久市</t>
  </si>
  <si>
    <t>多摩市</t>
    <rPh sb="0" eb="3">
      <t>タマシ</t>
    </rPh>
    <phoneticPr fontId="95"/>
  </si>
  <si>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</si>
  <si>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新宿区</t>
    <rPh sb="0" eb="3">
      <t>シンジュクク</t>
    </rPh>
    <phoneticPr fontId="95"/>
  </si>
  <si>
    <t>網走市</t>
  </si>
  <si>
    <t>日高町</t>
  </si>
  <si>
    <t>※</t>
  </si>
  <si>
    <t>各証明資料は、指定権者からの求めがあった場合には、速やかに提出すること。</t>
  </si>
  <si>
    <t>上級
（主任）</t>
    <rPh sb="0" eb="2">
      <t>ジョウキュウ</t>
    </rPh>
    <rPh sb="4" eb="6">
      <t>シュニン</t>
    </rPh>
    <phoneticPr fontId="21"/>
  </si>
  <si>
    <t>⑥関数用サービスコード</t>
    <rPh sb="1" eb="3">
      <t>カンスウ</t>
    </rPh>
    <rPh sb="3" eb="4">
      <t>ヨウ</t>
    </rPh>
    <phoneticPr fontId="21"/>
  </si>
  <si>
    <t>通所介護Ⅴ</t>
  </si>
  <si>
    <t>認知症対応型通所介護</t>
  </si>
  <si>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</si>
  <si>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指宿市</t>
  </si>
  <si>
    <t>令和</t>
    <rPh sb="0" eb="2">
      <t>レイワ</t>
    </rPh>
    <phoneticPr fontId="21"/>
  </si>
  <si>
    <t>四條畷市</t>
  </si>
  <si>
    <t>年</t>
    <rPh sb="0" eb="1">
      <t>ネン</t>
    </rPh>
    <phoneticPr fontId="21"/>
  </si>
  <si>
    <t>和泉市</t>
  </si>
  <si>
    <t>輪島市</t>
  </si>
  <si>
    <t>代表者</t>
    <rPh sb="0" eb="3">
      <t>ダイヒョウシャ</t>
    </rPh>
    <phoneticPr fontId="21"/>
  </si>
  <si>
    <t>（確認用）</t>
    <rPh sb="1" eb="4">
      <t>カクニンヨウ</t>
    </rPh>
    <phoneticPr fontId="21"/>
  </si>
  <si>
    <t>表６　選択様式</t>
    <rPh sb="0" eb="1">
      <t>ヒョウ</t>
    </rPh>
    <rPh sb="3" eb="5">
      <t>センタク</t>
    </rPh>
    <rPh sb="5" eb="7">
      <t>ヨウシキ</t>
    </rPh>
    <phoneticPr fontId="21"/>
  </si>
  <si>
    <t>小国町</t>
  </si>
  <si>
    <t>⑤の記入状況チェック</t>
    <rPh sb="2" eb="4">
      <t>キニュウ</t>
    </rPh>
    <rPh sb="4" eb="6">
      <t>ジョウキョウ</t>
    </rPh>
    <phoneticPr fontId="21"/>
  </si>
  <si>
    <t>令和８年度特例要件を満たす</t>
    <rPh sb="0" eb="2">
      <t>レイワ</t>
    </rPh>
    <rPh sb="3" eb="5">
      <t>ネンド</t>
    </rPh>
    <rPh sb="5" eb="7">
      <t>トクレイ</t>
    </rPh>
    <rPh sb="7" eb="9">
      <t>ヨウケン</t>
    </rPh>
    <rPh sb="10" eb="11">
      <t>ミ</t>
    </rPh>
    <phoneticPr fontId="21"/>
  </si>
  <si>
    <t>２　賃金改善計画について</t>
    <rPh sb="2" eb="4">
      <t>チンギン</t>
    </rPh>
    <rPh sb="4" eb="6">
      <t>カイゼン</t>
    </rPh>
    <rPh sb="6" eb="8">
      <t>ケイカク</t>
    </rPh>
    <phoneticPr fontId="21"/>
  </si>
  <si>
    <t>唐津市</t>
  </si>
  <si>
    <t>職責</t>
    <rPh sb="0" eb="2">
      <t>ショクセキ</t>
    </rPh>
    <phoneticPr fontId="21"/>
  </si>
  <si>
    <t>注１　地域密着型通所介護のサービス提供体制強化加算Ⅲイ又はロは療養通所介護費を算定する場合のみ</t>
    <rPh sb="0" eb="1">
      <t>チュウ</t>
    </rPh>
    <phoneticPr fontId="95"/>
  </si>
  <si>
    <t>市区
町村</t>
    <rPh sb="0" eb="2">
      <t>シク</t>
    </rPh>
    <rPh sb="3" eb="5">
      <t>チョウソン</t>
    </rPh>
    <phoneticPr fontId="21"/>
  </si>
  <si>
    <t>浜松市</t>
  </si>
  <si>
    <t>空欄が表示される項目は、記入が不要であるため対応する必要はない。</t>
  </si>
  <si>
    <t>提出前のチェックリスト</t>
    <rPh sb="0" eb="2">
      <t>テイシュツ</t>
    </rPh>
    <rPh sb="2" eb="3">
      <t>マエ</t>
    </rPh>
    <phoneticPr fontId="21"/>
  </si>
  <si>
    <t>以下の項目にオレンジ色の「×」がないか、提出前に確認すること。「×」がある場合、当該項目の記載を修正すること。</t>
    <rPh sb="10" eb="11">
      <t>イロ</t>
    </rPh>
    <phoneticPr fontId="21"/>
  </si>
  <si>
    <t>北相木村</t>
  </si>
  <si>
    <t>12</t>
  </si>
  <si>
    <t>人件費割合</t>
    <rPh sb="0" eb="3">
      <t>ジンケンヒ</t>
    </rPh>
    <rPh sb="3" eb="5">
      <t>ワリアイ</t>
    </rPh>
    <phoneticPr fontId="21"/>
  </si>
  <si>
    <t>太地町</t>
  </si>
  <si>
    <t>椎葉村</t>
  </si>
  <si>
    <t>片品村</t>
  </si>
  <si>
    <t>南陽市</t>
  </si>
  <si>
    <t>由布市</t>
  </si>
  <si>
    <t>別紙様式２－３（個票（６月以降））</t>
    <rPh sb="0" eb="2">
      <t>ベッシ</t>
    </rPh>
    <rPh sb="2" eb="4">
      <t>ヨウシキ</t>
    </rPh>
    <rPh sb="8" eb="10">
      <t>コヒョウ</t>
    </rPh>
    <rPh sb="12" eb="13">
      <t>ガツ</t>
    </rPh>
    <rPh sb="13" eb="15">
      <t>イコウ</t>
    </rPh>
    <phoneticPr fontId="21"/>
  </si>
  <si>
    <t>３　介護職員等処遇改善加算の要件について</t>
  </si>
  <si>
    <t>日進市</t>
  </si>
  <si>
    <t>（１）</t>
  </si>
  <si>
    <t>羽後町</t>
  </si>
  <si>
    <t>（２）</t>
  </si>
  <si>
    <t>春日井市</t>
  </si>
  <si>
    <t>⑦関数用サービスコード</t>
    <rPh sb="1" eb="3">
      <t>カンスウ</t>
    </rPh>
    <rPh sb="3" eb="4">
      <t>ヨウ</t>
    </rPh>
    <phoneticPr fontId="21"/>
  </si>
  <si>
    <t>徳島県</t>
  </si>
  <si>
    <t>キャリアパス要件Ⅰ・Ⅱ</t>
  </si>
  <si>
    <t>東郷町</t>
  </si>
  <si>
    <t>②・③キャリアパス要件Ⅰ・Ⅱ</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</si>
  <si>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</si>
  <si>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京極町</t>
  </si>
  <si>
    <t>（３）</t>
  </si>
  <si>
    <t>北九州市</t>
  </si>
  <si>
    <t>キャリアパス要件Ⅲ</t>
  </si>
  <si>
    <t>①の記入状況チェック</t>
    <rPh sb="2" eb="4">
      <t>キニュウ</t>
    </rPh>
    <rPh sb="4" eb="6">
      <t>ジョウキョウ</t>
    </rPh>
    <phoneticPr fontId="21"/>
  </si>
  <si>
    <t>初級</t>
    <rPh sb="0" eb="2">
      <t>ショキュウ</t>
    </rPh>
    <phoneticPr fontId="21"/>
  </si>
  <si>
    <t>キャリアパス要件Ⅲ（昇給の仕組みの整備等）を満たすこと。ただし、満たさない場合は、令和８年度特例要件を満たすこと。</t>
    <rPh sb="22" eb="23">
      <t>ミ</t>
    </rPh>
    <phoneticPr fontId="21"/>
  </si>
  <si>
    <t>黒滝村</t>
  </si>
  <si>
    <t>雲南市</t>
  </si>
  <si>
    <t>蓮田市</t>
  </si>
  <si>
    <t>神流町</t>
  </si>
  <si>
    <t>かほく市</t>
  </si>
  <si>
    <t>新座市</t>
  </si>
  <si>
    <t>（４）</t>
  </si>
  <si>
    <t>桶川市</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</si>
  <si>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</si>
  <si>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海田町</t>
  </si>
  <si>
    <t>（５）</t>
  </si>
  <si>
    <t>新潟県</t>
  </si>
  <si>
    <t>介護予防訪問入浴介護</t>
  </si>
  <si>
    <t>処遇改善加算Ⅰ</t>
  </si>
  <si>
    <t>介護予防訪問入浴介護Ⅴ</t>
  </si>
  <si>
    <t>32</t>
  </si>
  <si>
    <t>八重瀬町</t>
  </si>
  <si>
    <t>キャリアパス要件Ⅴ（介護福祉士等の配置要件）を満たすこと</t>
    <rPh sb="15" eb="16">
      <t>トウ</t>
    </rPh>
    <rPh sb="23" eb="24">
      <t>ミ</t>
    </rPh>
    <phoneticPr fontId="21"/>
  </si>
  <si>
    <t>東栄町</t>
  </si>
  <si>
    <t>大桑村</t>
  </si>
  <si>
    <t>三沢市</t>
  </si>
  <si>
    <t>（６）</t>
  </si>
  <si>
    <t>職場環境等要件</t>
  </si>
  <si>
    <t>金沢市</t>
  </si>
  <si>
    <t>安芸高田市</t>
  </si>
  <si>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</si>
  <si>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a.</t>
  </si>
  <si>
    <t>川俣町</t>
  </si>
  <si>
    <t>富士川町</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</si>
  <si>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</si>
  <si>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枚方市</t>
  </si>
  <si>
    <t>（７）</t>
  </si>
  <si>
    <t>令和８年度特例要件</t>
    <rPh sb="0" eb="2">
      <t>レイワ</t>
    </rPh>
    <rPh sb="3" eb="5">
      <t>ネンド</t>
    </rPh>
    <rPh sb="5" eb="7">
      <t>トクレイ</t>
    </rPh>
    <rPh sb="7" eb="9">
      <t>ヨウケン</t>
    </rPh>
    <phoneticPr fontId="21"/>
  </si>
  <si>
    <t>４　要件を満たすことの確認・証明</t>
    <rPh sb="2" eb="4">
      <t>ヨウケン</t>
    </rPh>
    <rPh sb="5" eb="6">
      <t>ミ</t>
    </rPh>
    <rPh sb="11" eb="13">
      <t>カクニン</t>
    </rPh>
    <rPh sb="14" eb="16">
      <t>ショウメイ</t>
    </rPh>
    <phoneticPr fontId="21"/>
  </si>
  <si>
    <t>宮城県</t>
  </si>
  <si>
    <t>能代市</t>
  </si>
  <si>
    <t>訪問介護R8</t>
  </si>
  <si>
    <t>西之表市</t>
  </si>
  <si>
    <t>坂戸市</t>
  </si>
  <si>
    <t>羽生市</t>
  </si>
  <si>
    <t xml:space="preserve"> 必要な項目が全て選択されていること</t>
    <rPh sb="1" eb="3">
      <t>ヒツヨウ</t>
    </rPh>
    <rPh sb="4" eb="6">
      <t>コウモク</t>
    </rPh>
    <rPh sb="7" eb="8">
      <t>スベ</t>
    </rPh>
    <rPh sb="9" eb="11">
      <t>センタク</t>
    </rPh>
    <phoneticPr fontId="21"/>
  </si>
  <si>
    <t>木津川市</t>
  </si>
  <si>
    <t>妹背牛町</t>
  </si>
  <si>
    <t xml:space="preserve"> 誓約・記名が行われていること</t>
    <rPh sb="1" eb="3">
      <t>セイヤク</t>
    </rPh>
    <rPh sb="4" eb="6">
      <t>キメイ</t>
    </rPh>
    <rPh sb="7" eb="8">
      <t>オコナ</t>
    </rPh>
    <phoneticPr fontId="21"/>
  </si>
  <si>
    <t>東川町</t>
  </si>
  <si>
    <t>三郷町</t>
  </si>
  <si>
    <t>定期巡回・随時対応型訪問介護看護Ⅴ</t>
  </si>
  <si>
    <t>堺市</t>
  </si>
  <si>
    <t>別紙様式２－２（個票（４、５月））</t>
    <rPh sb="0" eb="2">
      <t>ベッシ</t>
    </rPh>
    <rPh sb="2" eb="4">
      <t>ヨウシキ</t>
    </rPh>
    <rPh sb="8" eb="10">
      <t>コヒョウ</t>
    </rPh>
    <rPh sb="14" eb="15">
      <t>ガツ</t>
    </rPh>
    <phoneticPr fontId="21"/>
  </si>
  <si>
    <t>和寒町</t>
  </si>
  <si>
    <t>奈良県</t>
  </si>
  <si>
    <t>新宮市</t>
  </si>
  <si>
    <t>千葉県</t>
    <rPh sb="0" eb="3">
      <t>チバケン</t>
    </rPh>
    <phoneticPr fontId="21"/>
  </si>
  <si>
    <t>下仁田町</t>
  </si>
  <si>
    <t>⑤キャリアパス要件Ⅳについて（「令和８年度の算定予定」について）</t>
    <rPh sb="7" eb="9">
      <t>ヨウケン</t>
    </rPh>
    <rPh sb="16" eb="18">
      <t>レイワ</t>
    </rPh>
    <rPh sb="19" eb="21">
      <t>ネンド</t>
    </rPh>
    <rPh sb="22" eb="24">
      <t>サンテイ</t>
    </rPh>
    <rPh sb="24" eb="26">
      <t>ヨテイ</t>
    </rPh>
    <phoneticPr fontId="21"/>
  </si>
  <si>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</si>
  <si>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介護予防通所リハビリテーションR8</t>
  </si>
  <si>
    <t>東御市</t>
  </si>
  <si>
    <t>美作市</t>
  </si>
  <si>
    <t>級地</t>
    <rPh sb="0" eb="2">
      <t>キュウチ</t>
    </rPh>
    <phoneticPr fontId="21"/>
  </si>
  <si>
    <t>近江八幡市</t>
    <rPh sb="0" eb="5">
      <t>オウミハチマンシ</t>
    </rPh>
    <phoneticPr fontId="95"/>
  </si>
  <si>
    <t>筑紫野市</t>
  </si>
  <si>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</si>
  <si>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湖西市</t>
  </si>
  <si>
    <t>処遇改善加算Ⅰ・Ⅱの算定を届け出た事業所数
（短期入所・予防・総合事業での重複除く）</t>
    <rPh sb="10" eb="12">
      <t>サンテイ</t>
    </rPh>
    <phoneticPr fontId="21"/>
  </si>
  <si>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</si>
  <si>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蘂取村</t>
  </si>
  <si>
    <t>事業所名</t>
    <rPh sb="0" eb="3">
      <t>ジギョウショ</t>
    </rPh>
    <rPh sb="3" eb="4">
      <t>メイ</t>
    </rPh>
    <phoneticPr fontId="21"/>
  </si>
  <si>
    <t>介護予防特定施設入居者生活介護R8</t>
  </si>
  <si>
    <t>長浜市</t>
  </si>
  <si>
    <t>栃木県</t>
  </si>
  <si>
    <t>A8</t>
  </si>
  <si>
    <t>１単位
あたりの
単価[円]
(b)</t>
    <rPh sb="1" eb="3">
      <t>タンイ</t>
    </rPh>
    <rPh sb="9" eb="11">
      <t>タンカ</t>
    </rPh>
    <rPh sb="12" eb="13">
      <t>エン</t>
    </rPh>
    <phoneticPr fontId="21"/>
  </si>
  <si>
    <t>大竹市</t>
  </si>
  <si>
    <t>二</t>
  </si>
  <si>
    <t>山形県</t>
  </si>
  <si>
    <t>青梅市</t>
  </si>
  <si>
    <t>令和８年４・５月に
算定する処遇改善加算の区分</t>
    <rPh sb="0" eb="2">
      <t>レイワ</t>
    </rPh>
    <rPh sb="3" eb="4">
      <t>ネン</t>
    </rPh>
    <rPh sb="7" eb="8">
      <t>ガツ</t>
    </rPh>
    <rPh sb="10" eb="12">
      <t>サンテイ</t>
    </rPh>
    <rPh sb="21" eb="23">
      <t>クブン</t>
    </rPh>
    <phoneticPr fontId="21"/>
  </si>
  <si>
    <t>加
算
率
(c)</t>
    <rPh sb="0" eb="1">
      <t>カ</t>
    </rPh>
    <rPh sb="2" eb="3">
      <t>ザン</t>
    </rPh>
    <rPh sb="4" eb="5">
      <t>リツ</t>
    </rPh>
    <phoneticPr fontId="21"/>
  </si>
  <si>
    <t>三田市</t>
  </si>
  <si>
    <t>算定対象月
(d)
※通常は令和８年４月・５月</t>
    <rPh sb="0" eb="2">
      <t>サンテイ</t>
    </rPh>
    <rPh sb="2" eb="4">
      <t>タイショウ</t>
    </rPh>
    <rPh sb="4" eb="5">
      <t>ツキ</t>
    </rPh>
    <rPh sb="16" eb="18">
      <t>レイワ</t>
    </rPh>
    <rPh sb="19" eb="20">
      <t>ネン</t>
    </rPh>
    <phoneticPr fontId="21"/>
  </si>
  <si>
    <t>処遇改善加算の
見込額[円]
(a×b×c×d)</t>
    <rPh sb="8" eb="10">
      <t>ミコ</t>
    </rPh>
    <rPh sb="10" eb="11">
      <t>ガク</t>
    </rPh>
    <phoneticPr fontId="21"/>
  </si>
  <si>
    <t>楢葉町</t>
  </si>
  <si>
    <t>①月額賃金要件</t>
    <rPh sb="1" eb="3">
      <t>ゲツガク</t>
    </rPh>
    <rPh sb="3" eb="5">
      <t>チンギン</t>
    </rPh>
    <rPh sb="5" eb="7">
      <t>ヨウケン</t>
    </rPh>
    <phoneticPr fontId="21"/>
  </si>
  <si>
    <t>美浜町</t>
  </si>
  <si>
    <t>国頭村</t>
  </si>
  <si>
    <t>④キャリアパス要件Ⅲ</t>
    <rPh sb="7" eb="9">
      <t>ヨウケン</t>
    </rPh>
    <phoneticPr fontId="95"/>
  </si>
  <si>
    <t>青ヶ島村</t>
  </si>
  <si>
    <t>福井県</t>
  </si>
  <si>
    <t>⑦令和８年度
特例要件</t>
    <rPh sb="1" eb="3">
      <t>レイワ</t>
    </rPh>
    <rPh sb="4" eb="6">
      <t>ネンド</t>
    </rPh>
    <rPh sb="7" eb="9">
      <t>トクレイ</t>
    </rPh>
    <rPh sb="9" eb="11">
      <t>ヨウケン</t>
    </rPh>
    <phoneticPr fontId="21"/>
  </si>
  <si>
    <t>昇給の仕組みの
整備等</t>
  </si>
  <si>
    <t>滝上町</t>
  </si>
  <si>
    <t>尾花沢市</t>
  </si>
  <si>
    <t>11</t>
  </si>
  <si>
    <t>那珂川市</t>
    <rPh sb="3" eb="4">
      <t>シ</t>
    </rPh>
    <phoneticPr fontId="95"/>
  </si>
  <si>
    <r>
      <t>改善後の賃金要件</t>
    </r>
    <r>
      <rPr>
        <sz val="11"/>
        <color auto="1"/>
        <rFont val="ＭＳ Ｐゴシック"/>
      </rPr>
      <t>（年額440万円以上）</t>
    </r>
    <r>
      <rPr>
        <sz val="14"/>
        <color auto="1"/>
        <rFont val="ＭＳ Ｐゴシック"/>
      </rPr>
      <t>を満たす職員数を記載</t>
    </r>
  </si>
  <si>
    <t>蟹江町</t>
  </si>
  <si>
    <t>介護福祉士等の配置要件の状況が分かる加算の算定状況</t>
    <rPh sb="5" eb="6">
      <t>トウ</t>
    </rPh>
    <rPh sb="9" eb="11">
      <t>ヨウケン</t>
    </rPh>
    <rPh sb="12" eb="14">
      <t>ジョウキョウ</t>
    </rPh>
    <rPh sb="15" eb="16">
      <t>ワ</t>
    </rPh>
    <phoneticPr fontId="21"/>
  </si>
  <si>
    <t>生産性向上や協働化に係る取組を実施</t>
    <rPh sb="15" eb="17">
      <t>ジッシ</t>
    </rPh>
    <phoneticPr fontId="21"/>
  </si>
  <si>
    <t>知立市</t>
  </si>
  <si>
    <t>記入上の注意</t>
    <rPh sb="0" eb="2">
      <t>キニュウ</t>
    </rPh>
    <rPh sb="2" eb="3">
      <t>ジョウ</t>
    </rPh>
    <rPh sb="4" eb="6">
      <t>チュウイ</t>
    </rPh>
    <phoneticPr fontId="21"/>
  </si>
  <si>
    <t>湯沢町</t>
  </si>
  <si>
    <t>大淀町</t>
  </si>
  <si>
    <t>安芸市</t>
  </si>
  <si>
    <t>16</t>
  </si>
  <si>
    <t>処遇改善加算対象サービス</t>
    <rPh sb="0" eb="4">
      <t>ショグウカイゼン</t>
    </rPh>
    <rPh sb="4" eb="6">
      <t>カサン</t>
    </rPh>
    <rPh sb="6" eb="8">
      <t>タイショウ</t>
    </rPh>
    <phoneticPr fontId="21"/>
  </si>
  <si>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</si>
  <si>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④の色付け用（入力要否の判定用）</t>
    <rPh sb="2" eb="3">
      <t>イロ</t>
    </rPh>
    <rPh sb="3" eb="4">
      <t>ヅ</t>
    </rPh>
    <rPh sb="5" eb="6">
      <t>ヨウ</t>
    </rPh>
    <rPh sb="7" eb="9">
      <t>ニュウリョク</t>
    </rPh>
    <rPh sb="9" eb="11">
      <t>ヨウヒ</t>
    </rPh>
    <rPh sb="12" eb="15">
      <t>ハンテイヨウ</t>
    </rPh>
    <phoneticPr fontId="21"/>
  </si>
  <si>
    <t>岩倉市</t>
  </si>
  <si>
    <t>清水町</t>
  </si>
  <si>
    <t>津島市</t>
  </si>
  <si>
    <t>常勤（月給）
・基本給 ●●●円～
・資格手当 ＋●●円</t>
    <rPh sb="0" eb="2">
      <t>ジョウキン</t>
    </rPh>
    <rPh sb="19" eb="21">
      <t>シカク</t>
    </rPh>
    <rPh sb="21" eb="23">
      <t>テアテ</t>
    </rPh>
    <rPh sb="27" eb="28">
      <t>エン</t>
    </rPh>
    <phoneticPr fontId="21"/>
  </si>
  <si>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</si>
  <si>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</si>
  <si>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⑥の色付け用（入力要否の判定用）</t>
    <rPh sb="2" eb="3">
      <t>イロ</t>
    </rPh>
    <rPh sb="3" eb="4">
      <t>ヅ</t>
    </rPh>
    <rPh sb="5" eb="6">
      <t>ヨウ</t>
    </rPh>
    <rPh sb="7" eb="9">
      <t>ニュウリョク</t>
    </rPh>
    <rPh sb="9" eb="11">
      <t>ヨウヒ</t>
    </rPh>
    <rPh sb="12" eb="15">
      <t>ハンテイヨウ</t>
    </rPh>
    <phoneticPr fontId="21"/>
  </si>
  <si>
    <t>⑥の記入状況チェック</t>
    <rPh sb="2" eb="4">
      <t>キニュウ</t>
    </rPh>
    <rPh sb="4" eb="6">
      <t>ジョウキョウ</t>
    </rPh>
    <phoneticPr fontId="21"/>
  </si>
  <si>
    <t>芳賀町</t>
  </si>
  <si>
    <t>江戸川区</t>
    <rPh sb="0" eb="4">
      <t>エドガワク</t>
    </rPh>
    <phoneticPr fontId="95"/>
  </si>
  <si>
    <t>⑦の色付け用（入力要否の判定用）</t>
    <rPh sb="2" eb="3">
      <t>イロ</t>
    </rPh>
    <rPh sb="3" eb="4">
      <t>ヅ</t>
    </rPh>
    <rPh sb="5" eb="6">
      <t>ヨウ</t>
    </rPh>
    <rPh sb="7" eb="9">
      <t>ニュウリョク</t>
    </rPh>
    <rPh sb="9" eb="11">
      <t>ヨウヒ</t>
    </rPh>
    <rPh sb="12" eb="15">
      <t>ハンテイヨウ</t>
    </rPh>
    <phoneticPr fontId="21"/>
  </si>
  <si>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</si>
  <si>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小規模多機能型居宅介護Ⅴ</t>
  </si>
  <si>
    <t>越知町</t>
  </si>
  <si>
    <t>（指定権者ソート用）</t>
    <rPh sb="1" eb="5">
      <t>シテイケンジャ</t>
    </rPh>
    <phoneticPr fontId="21"/>
  </si>
  <si>
    <t>鎌ケ谷市</t>
  </si>
  <si>
    <t>2A</t>
  </si>
  <si>
    <t>特例要件全体の判定用</t>
  </si>
  <si>
    <t>平群町</t>
  </si>
  <si>
    <t>キャリアパス要件Ⅳその他判定</t>
    <rPh sb="6" eb="8">
      <t>ヨウケン</t>
    </rPh>
    <rPh sb="11" eb="12">
      <t>タ</t>
    </rPh>
    <rPh sb="12" eb="14">
      <t>ハンテイ</t>
    </rPh>
    <phoneticPr fontId="21"/>
  </si>
  <si>
    <t>茨城県</t>
  </si>
  <si>
    <t>特定事業所加算Ⅰ又はⅡに準じる市町村独自の加算</t>
  </si>
  <si>
    <t>南相木村</t>
  </si>
  <si>
    <t>月</t>
    <rPh sb="0" eb="1">
      <t>ツキ</t>
    </rPh>
    <phoneticPr fontId="21"/>
  </si>
  <si>
    <t>都城市</t>
  </si>
  <si>
    <t>市川市</t>
  </si>
  <si>
    <t>全サービス</t>
    <rPh sb="0" eb="1">
      <t>ゼン</t>
    </rPh>
    <phoneticPr fontId="21"/>
  </si>
  <si>
    <t>玉村町</t>
  </si>
  <si>
    <t>豊山町</t>
  </si>
  <si>
    <r>
      <t>令和８年６月</t>
    </r>
    <r>
      <rPr>
        <sz val="11"/>
        <color auto="1"/>
        <rFont val="ＭＳ Ｐゴシック"/>
      </rPr>
      <t>から新たに処遇改善加算の対象となるサービス</t>
    </r>
    <rPh sb="5" eb="6">
      <t>ガツ</t>
    </rPh>
    <rPh sb="8" eb="9">
      <t>アラ</t>
    </rPh>
    <phoneticPr fontId="21"/>
  </si>
  <si>
    <t>52</t>
  </si>
  <si>
    <t>令和８年６月以降に
算定する処遇改善加算の区分</t>
    <rPh sb="0" eb="2">
      <t>レイワ</t>
    </rPh>
    <rPh sb="3" eb="4">
      <t>ネン</t>
    </rPh>
    <rPh sb="5" eb="6">
      <t>ガツ</t>
    </rPh>
    <rPh sb="6" eb="8">
      <t>イコウ</t>
    </rPh>
    <rPh sb="10" eb="12">
      <t>サンテイ</t>
    </rPh>
    <rPh sb="21" eb="23">
      <t>クブン</t>
    </rPh>
    <phoneticPr fontId="21"/>
  </si>
  <si>
    <t>大阪市</t>
    <rPh sb="0" eb="3">
      <t>オオサカシ</t>
    </rPh>
    <phoneticPr fontId="95"/>
  </si>
  <si>
    <t>通所型サービス_独自_定額_19人以上_Ⅴ</t>
  </si>
  <si>
    <t>西予市</t>
  </si>
  <si>
    <t>登別市</t>
  </si>
  <si>
    <t>４、５月時点の処遇改善加算対象サービス</t>
    <rPh sb="3" eb="4">
      <t>ガツ</t>
    </rPh>
    <rPh sb="4" eb="6">
      <t>ジテン</t>
    </rPh>
    <phoneticPr fontId="21"/>
  </si>
  <si>
    <t>大川村</t>
  </si>
  <si>
    <t>⑤の記入状況チェック</t>
  </si>
  <si>
    <t>静岡県</t>
  </si>
  <si>
    <t>嘉麻市</t>
  </si>
  <si>
    <t>特例要件不要の場合の色消し</t>
    <rPh sb="0" eb="2">
      <t>トクレイ</t>
    </rPh>
    <rPh sb="2" eb="4">
      <t>ヨウケン</t>
    </rPh>
    <rPh sb="4" eb="6">
      <t>フヨウ</t>
    </rPh>
    <rPh sb="7" eb="9">
      <t>バアイ</t>
    </rPh>
    <rPh sb="10" eb="12">
      <t>イロケ</t>
    </rPh>
    <phoneticPr fontId="21"/>
  </si>
  <si>
    <t>中標津町</t>
  </si>
  <si>
    <t>紗那村</t>
  </si>
  <si>
    <t>姫島村</t>
  </si>
  <si>
    <t>新規対象サービスの特例要件判定</t>
    <rPh sb="0" eb="2">
      <t>シンキ</t>
    </rPh>
    <rPh sb="2" eb="4">
      <t>タイショウ</t>
    </rPh>
    <rPh sb="9" eb="11">
      <t>トクレイ</t>
    </rPh>
    <rPh sb="11" eb="13">
      <t>ヨウケン</t>
    </rPh>
    <rPh sb="13" eb="15">
      <t>ハンテイ</t>
    </rPh>
    <phoneticPr fontId="21"/>
  </si>
  <si>
    <t>調布市</t>
  </si>
  <si>
    <t>南知多町</t>
  </si>
  <si>
    <t>訪問看護特例要件入力チェック</t>
    <rPh sb="0" eb="2">
      <t>ホウモン</t>
    </rPh>
    <rPh sb="2" eb="4">
      <t>カンゴ</t>
    </rPh>
    <rPh sb="4" eb="6">
      <t>トクレイ</t>
    </rPh>
    <rPh sb="6" eb="8">
      <t>ヨウケン</t>
    </rPh>
    <rPh sb="8" eb="10">
      <t>ニュウリョク</t>
    </rPh>
    <phoneticPr fontId="21"/>
  </si>
  <si>
    <t>湯川村</t>
  </si>
  <si>
    <t>えびの市</t>
  </si>
  <si>
    <t>二に掲げる職位、職責又は職務内容等に応じた賃金体系を定めている。</t>
    <rPh sb="0" eb="1">
      <t>ニ</t>
    </rPh>
    <rPh sb="2" eb="3">
      <t>カカ</t>
    </rPh>
    <phoneticPr fontId="21"/>
  </si>
  <si>
    <t>酒田市</t>
  </si>
  <si>
    <t>特例要件全体の判定用</t>
    <rPh sb="0" eb="2">
      <t>トクレイ</t>
    </rPh>
    <rPh sb="2" eb="4">
      <t>ヨウケン</t>
    </rPh>
    <rPh sb="4" eb="6">
      <t>ゼンタイ</t>
    </rPh>
    <rPh sb="7" eb="9">
      <t>ハンテイ</t>
    </rPh>
    <rPh sb="9" eb="10">
      <t>ヨウ</t>
    </rPh>
    <phoneticPr fontId="21"/>
  </si>
  <si>
    <t>一</t>
    <rPh sb="0" eb="1">
      <t>イチ</t>
    </rPh>
    <phoneticPr fontId="21"/>
  </si>
  <si>
    <t>沼津市</t>
  </si>
  <si>
    <t>佐々町</t>
  </si>
  <si>
    <t>江東区</t>
    <rPh sb="0" eb="3">
      <t>コウトウク</t>
    </rPh>
    <phoneticPr fontId="95"/>
  </si>
  <si>
    <t>島本町</t>
  </si>
  <si>
    <t>給与
（非常勤・時給）</t>
    <rPh sb="0" eb="2">
      <t>キュウヨ</t>
    </rPh>
    <rPh sb="4" eb="7">
      <t>ヒジョウキン</t>
    </rPh>
    <rPh sb="8" eb="10">
      <t>ジキュウ</t>
    </rPh>
    <phoneticPr fontId="21"/>
  </si>
  <si>
    <t>介護予防通所リハビリテーションⅤ</t>
  </si>
  <si>
    <t>職員の任用における職位、職責又は職務内容等の要件を定めている。</t>
    <rPh sb="0" eb="2">
      <t>ショクイン</t>
    </rPh>
    <rPh sb="3" eb="5">
      <t>ニンヨウ</t>
    </rPh>
    <phoneticPr fontId="21"/>
  </si>
  <si>
    <t>真岡市</t>
  </si>
  <si>
    <t>二</t>
    <rPh sb="0" eb="1">
      <t>ニ</t>
    </rPh>
    <phoneticPr fontId="21"/>
  </si>
  <si>
    <t>大館市</t>
  </si>
  <si>
    <t>ケアプランデータ連携システムの利用を誓約</t>
    <rPh sb="18" eb="20">
      <t>セイヤク</t>
    </rPh>
    <phoneticPr fontId="21"/>
  </si>
  <si>
    <t>三</t>
    <rPh sb="0" eb="1">
      <t>サン</t>
    </rPh>
    <phoneticPr fontId="21"/>
  </si>
  <si>
    <t>一</t>
  </si>
  <si>
    <t>中山町</t>
  </si>
  <si>
    <t>東白川村</t>
  </si>
  <si>
    <t>分類</t>
    <rPh sb="0" eb="2">
      <t>ブンルイ</t>
    </rPh>
    <phoneticPr fontId="21"/>
  </si>
  <si>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</si>
  <si>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旭川市</t>
  </si>
  <si>
    <t>一の実現のための具体的な取組内容</t>
    <rPh sb="0" eb="1">
      <t>イチ</t>
    </rPh>
    <rPh sb="14" eb="16">
      <t>ナイヨウ</t>
    </rPh>
    <phoneticPr fontId="21"/>
  </si>
  <si>
    <t>b.</t>
  </si>
  <si>
    <t>大網白里市</t>
    <rPh sb="4" eb="5">
      <t>シ</t>
    </rPh>
    <phoneticPr fontId="95"/>
  </si>
  <si>
    <t>○</t>
  </si>
  <si>
    <t>資格取得のための支援の実施</t>
    <rPh sb="0" eb="2">
      <t>シカク</t>
    </rPh>
    <rPh sb="2" eb="4">
      <t>シュトク</t>
    </rPh>
    <rPh sb="8" eb="10">
      <t>シエン</t>
    </rPh>
    <rPh sb="11" eb="13">
      <t>ジッシ</t>
    </rPh>
    <phoneticPr fontId="21"/>
  </si>
  <si>
    <t>飯山市</t>
  </si>
  <si>
    <t>表11　選択様式</t>
    <rPh sb="0" eb="1">
      <t>ヒョウ</t>
    </rPh>
    <rPh sb="4" eb="6">
      <t>センタク</t>
    </rPh>
    <rPh sb="6" eb="8">
      <t>ヨウシキ</t>
    </rPh>
    <phoneticPr fontId="21"/>
  </si>
  <si>
    <t>士幌町</t>
  </si>
  <si>
    <t>栃木市</t>
  </si>
  <si>
    <t>笠岡市</t>
  </si>
  <si>
    <t>庄原市</t>
  </si>
  <si>
    <t>一について、全ての職員に周知している。</t>
    <rPh sb="6" eb="7">
      <t>スベ</t>
    </rPh>
    <phoneticPr fontId="21"/>
  </si>
  <si>
    <t>西ノ島町</t>
  </si>
  <si>
    <t>栄町</t>
  </si>
  <si>
    <t>例：訪問系（簡易版）</t>
    <rPh sb="0" eb="1">
      <t xml:space="preserve">レイ </t>
    </rPh>
    <rPh sb="2" eb="5">
      <t>カンイバン</t>
    </rPh>
    <phoneticPr fontId="21"/>
  </si>
  <si>
    <t>訪問入浴介護</t>
  </si>
  <si>
    <t>介護予防小規模多機能型居宅介護</t>
  </si>
  <si>
    <t>貝塚市</t>
  </si>
  <si>
    <t>71</t>
  </si>
  <si>
    <t>山都町</t>
  </si>
  <si>
    <t>職位・役職</t>
    <rPh sb="0" eb="2">
      <t>ショクイ</t>
    </rPh>
    <rPh sb="3" eb="5">
      <t>ヤクショク</t>
    </rPh>
    <phoneticPr fontId="21"/>
  </si>
  <si>
    <t>鹿嶋市</t>
  </si>
  <si>
    <t>高度な業務の遂行
他の従業員への指導</t>
    <rPh sb="0" eb="2">
      <t>コウド</t>
    </rPh>
    <rPh sb="6" eb="8">
      <t>スイコウ</t>
    </rPh>
    <phoneticPr fontId="21"/>
  </si>
  <si>
    <t>看護小規模多機能型居宅介護</t>
  </si>
  <si>
    <t>66</t>
  </si>
  <si>
    <t>常勤（月給）
・基本給 ●●●円～
・経験手当 ＋●●円
・役職手当 ＋●●円</t>
    <rPh sb="0" eb="2">
      <t>ジョウキン</t>
    </rPh>
    <rPh sb="19" eb="21">
      <t>ケイケン</t>
    </rPh>
    <rPh sb="38" eb="39">
      <t>エン</t>
    </rPh>
    <phoneticPr fontId="21"/>
  </si>
  <si>
    <t>非常勤（時給）
・●●　円
・経験手当 ＋●●円</t>
  </si>
  <si>
    <t>中級</t>
    <rPh sb="0" eb="2">
      <t>チュウキュウ</t>
    </rPh>
    <phoneticPr fontId="21"/>
  </si>
  <si>
    <t>すさみ町</t>
  </si>
  <si>
    <t>玉川村</t>
  </si>
  <si>
    <t>船橋市</t>
  </si>
  <si>
    <t>35</t>
  </si>
  <si>
    <t>通常の介護業務
他の従業員への助言</t>
    <rPh sb="3" eb="5">
      <t>カイゴ</t>
    </rPh>
    <phoneticPr fontId="21"/>
  </si>
  <si>
    <t>介護予防特定施設入居者生活介護Ⅴ</t>
  </si>
  <si>
    <t>厚岸町</t>
  </si>
  <si>
    <t>A3</t>
  </si>
  <si>
    <t>羽幌町</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</si>
  <si>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</si>
  <si>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黒部市</t>
  </si>
  <si>
    <t>入社時～</t>
    <rPh sb="2" eb="3">
      <t>ジ</t>
    </rPh>
    <phoneticPr fontId="21"/>
  </si>
  <si>
    <t>大阪狭山市</t>
  </si>
  <si>
    <t>氷川町</t>
  </si>
  <si>
    <t>知内町</t>
  </si>
  <si>
    <t>下郷町</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</si>
  <si>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</si>
  <si>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青木村</t>
  </si>
  <si>
    <t>刈谷市</t>
  </si>
  <si>
    <t>認知症対応型通所介護Ⅴ</t>
  </si>
  <si>
    <t>榛東村</t>
    <rPh sb="0" eb="3">
      <t>シントウムラ</t>
    </rPh>
    <phoneticPr fontId="95"/>
  </si>
  <si>
    <t>せたな町</t>
  </si>
  <si>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</si>
  <si>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（研修計画）</t>
    <rPh sb="1" eb="3">
      <t>ケンシュウ</t>
    </rPh>
    <rPh sb="3" eb="5">
      <t>ケイカク</t>
    </rPh>
    <phoneticPr fontId="21"/>
  </si>
  <si>
    <t>河内長野市</t>
  </si>
  <si>
    <t>豊橋市</t>
  </si>
  <si>
    <t>礼文町</t>
  </si>
  <si>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</si>
  <si>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市原市</t>
  </si>
  <si>
    <t>表１　交付率一覧</t>
    <rPh sb="0" eb="1">
      <t>ヒョウ</t>
    </rPh>
    <rPh sb="3" eb="6">
      <t>コウフリツ</t>
    </rPh>
    <rPh sb="6" eb="8">
      <t>イチラン</t>
    </rPh>
    <phoneticPr fontId="21"/>
  </si>
  <si>
    <t>誓約</t>
    <rPh sb="0" eb="2">
      <t>セイヤク</t>
    </rPh>
    <phoneticPr fontId="21"/>
  </si>
  <si>
    <t>豊島区</t>
    <rPh sb="0" eb="3">
      <t>トシマク</t>
    </rPh>
    <phoneticPr fontId="95"/>
  </si>
  <si>
    <t>九十九里町</t>
  </si>
  <si>
    <t>特定施設入居者生活介護_短期利用型_Ⅴ</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</si>
  <si>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</si>
  <si>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生産性向上推進体制加算Ⅰ又はⅡの算定を誓約</t>
    <rPh sb="16" eb="18">
      <t>サンテイ</t>
    </rPh>
    <rPh sb="19" eb="21">
      <t>セイヤク</t>
    </rPh>
    <phoneticPr fontId="21"/>
  </si>
  <si>
    <t>介護予防短期入所療養介護_病院等_老健以外__Ⅴ</t>
  </si>
  <si>
    <t>木更津市</t>
  </si>
  <si>
    <t>表３　提出先一覧</t>
    <rPh sb="0" eb="1">
      <t>ヒョウ</t>
    </rPh>
    <rPh sb="3" eb="5">
      <t>テイシュツ</t>
    </rPh>
    <rPh sb="5" eb="6">
      <t>サキ</t>
    </rPh>
    <rPh sb="6" eb="8">
      <t>イチラン</t>
    </rPh>
    <phoneticPr fontId="21"/>
  </si>
  <si>
    <t>表４　事業所の所在地</t>
    <rPh sb="0" eb="1">
      <t>ヒョウ</t>
    </rPh>
    <rPh sb="3" eb="6">
      <t>ジギョウショ</t>
    </rPh>
    <rPh sb="7" eb="10">
      <t>ショザイチ</t>
    </rPh>
    <phoneticPr fontId="21"/>
  </si>
  <si>
    <t>表５　１単位あたりの単価</t>
    <rPh sb="0" eb="1">
      <t>ヒョウ</t>
    </rPh>
    <rPh sb="4" eb="6">
      <t>タンイ</t>
    </rPh>
    <rPh sb="10" eb="12">
      <t>タンカ</t>
    </rPh>
    <phoneticPr fontId="21"/>
  </si>
  <si>
    <t>南大隅町</t>
  </si>
  <si>
    <t>黒潮町</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</si>
  <si>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</si>
  <si>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サービス区分</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</si>
  <si>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</si>
  <si>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紀美野町</t>
  </si>
  <si>
    <t>四街道市</t>
  </si>
  <si>
    <t>愛川町</t>
  </si>
  <si>
    <t>処遇改善加算</t>
    <rPh sb="0" eb="4">
      <t>ショグウカイゼン</t>
    </rPh>
    <rPh sb="4" eb="6">
      <t>カサン</t>
    </rPh>
    <phoneticPr fontId="21"/>
  </si>
  <si>
    <t>地域密着型特定施設入居者生活介護_短期利用型_R8</t>
  </si>
  <si>
    <t>訪問リハビリテーション</t>
  </si>
  <si>
    <t>通所介護</t>
  </si>
  <si>
    <t>浅川町</t>
  </si>
  <si>
    <t>横浜市</t>
    <rPh sb="0" eb="3">
      <t>ヨコハマシ</t>
    </rPh>
    <phoneticPr fontId="95"/>
  </si>
  <si>
    <t>処遇改善加算Ⅰロ</t>
  </si>
  <si>
    <t>東村山市</t>
    <rPh sb="0" eb="4">
      <t>ヒガシムラヤマシ</t>
    </rPh>
    <phoneticPr fontId="95"/>
  </si>
  <si>
    <t>４、５月時点の分類</t>
    <rPh sb="3" eb="4">
      <t>ガツ</t>
    </rPh>
    <rPh sb="4" eb="6">
      <t>ジテン</t>
    </rPh>
    <rPh sb="7" eb="9">
      <t>ブンルイ</t>
    </rPh>
    <phoneticPr fontId="21"/>
  </si>
  <si>
    <t>市区町村</t>
    <rPh sb="0" eb="4">
      <t>シクチョウソン</t>
    </rPh>
    <phoneticPr fontId="21"/>
  </si>
  <si>
    <t>介護老人福祉施設</t>
    <rPh sb="0" eb="2">
      <t>カイゴ</t>
    </rPh>
    <rPh sb="2" eb="4">
      <t>ロウジン</t>
    </rPh>
    <rPh sb="4" eb="6">
      <t>フクシ</t>
    </rPh>
    <rPh sb="6" eb="8">
      <t>シセツ</t>
    </rPh>
    <phoneticPr fontId="21"/>
  </si>
  <si>
    <t>上乗せ割合</t>
    <rPh sb="0" eb="2">
      <t>ウワノ</t>
    </rPh>
    <rPh sb="3" eb="5">
      <t>ワリアイ</t>
    </rPh>
    <phoneticPr fontId="21"/>
  </si>
  <si>
    <t>ケアプランデータ連携システムを利用している</t>
  </si>
  <si>
    <t>富岡町</t>
  </si>
  <si>
    <t>いちき串木野市</t>
  </si>
  <si>
    <t>組み合わせ</t>
    <rPh sb="0" eb="1">
      <t>ク</t>
    </rPh>
    <rPh sb="2" eb="3">
      <t>ア</t>
    </rPh>
    <phoneticPr fontId="21"/>
  </si>
  <si>
    <t>介護サービス</t>
    <rPh sb="0" eb="2">
      <t>カイゴ</t>
    </rPh>
    <phoneticPr fontId="21"/>
  </si>
  <si>
    <t>逗子市</t>
  </si>
  <si>
    <t>チェックボックス</t>
  </si>
  <si>
    <t>33</t>
  </si>
  <si>
    <t>夕張市</t>
  </si>
  <si>
    <t>甘楽町</t>
  </si>
  <si>
    <t>対象</t>
    <rPh sb="0" eb="2">
      <t>タイショウ</t>
    </rPh>
    <phoneticPr fontId="21"/>
  </si>
  <si>
    <t>瑞穂町</t>
    <rPh sb="0" eb="3">
      <t>ミズホマチ</t>
    </rPh>
    <phoneticPr fontId="95"/>
  </si>
  <si>
    <t>上田市</t>
  </si>
  <si>
    <t>介護福祉士等の配置要件</t>
    <rPh sb="0" eb="5">
      <t>カイゴフクシシ</t>
    </rPh>
    <rPh sb="5" eb="6">
      <t>トウ</t>
    </rPh>
    <rPh sb="7" eb="9">
      <t>ハイチ</t>
    </rPh>
    <rPh sb="9" eb="11">
      <t>ヨウケン</t>
    </rPh>
    <phoneticPr fontId="21"/>
  </si>
  <si>
    <t>要件</t>
    <rPh sb="0" eb="2">
      <t>ヨウケン</t>
    </rPh>
    <phoneticPr fontId="21"/>
  </si>
  <si>
    <t>処遇改善加算Ⅱ</t>
  </si>
  <si>
    <t>処遇改善加算Ⅲ</t>
  </si>
  <si>
    <t>処遇改善加算Ⅳ</t>
  </si>
  <si>
    <t>弥富市</t>
  </si>
  <si>
    <t>安城市</t>
  </si>
  <si>
    <t>処遇改善加算Ⅱイ</t>
  </si>
  <si>
    <t>日立市</t>
  </si>
  <si>
    <t>常滑市</t>
  </si>
  <si>
    <t>南魚沼市</t>
  </si>
  <si>
    <t>小金井市</t>
  </si>
  <si>
    <t>処遇改善加算Ⅱロ</t>
  </si>
  <si>
    <t>加算対象</t>
    <rPh sb="0" eb="2">
      <t>カサン</t>
    </rPh>
    <rPh sb="2" eb="4">
      <t>タイショウ</t>
    </rPh>
    <phoneticPr fontId="21"/>
  </si>
  <si>
    <t>特定施設入居者生活介護R8</t>
  </si>
  <si>
    <t>小田原市</t>
  </si>
  <si>
    <t>泊村</t>
  </si>
  <si>
    <t>加算対象外</t>
    <rPh sb="0" eb="2">
      <t>カサン</t>
    </rPh>
    <rPh sb="2" eb="5">
      <t>タイショウガイ</t>
    </rPh>
    <phoneticPr fontId="21"/>
  </si>
  <si>
    <t>ケアプランデータ連携システムの利用を誓約</t>
  </si>
  <si>
    <t>北海道</t>
  </si>
  <si>
    <t>札幌市</t>
  </si>
  <si>
    <t>短期入所療養介護_介護老人保健施設_Ⅴ</t>
  </si>
  <si>
    <t>訪問介護</t>
  </si>
  <si>
    <t>十津川村</t>
  </si>
  <si>
    <t>海老名市</t>
    <rPh sb="0" eb="4">
      <t>エビナシ</t>
    </rPh>
    <phoneticPr fontId="95"/>
  </si>
  <si>
    <t>訪問入浴介護Ⅴ</t>
  </si>
  <si>
    <t>豊後高田市</t>
  </si>
  <si>
    <t>特定事業所加算Ⅰ</t>
    <rPh sb="0" eb="7">
      <t>ト</t>
    </rPh>
    <phoneticPr fontId="95"/>
  </si>
  <si>
    <t>八王子市</t>
  </si>
  <si>
    <t>特定事業所加算Ⅱ</t>
    <rPh sb="0" eb="7">
      <t>ト</t>
    </rPh>
    <phoneticPr fontId="95"/>
  </si>
  <si>
    <t>社会福祉連携推進法人に所属</t>
    <rPh sb="11" eb="13">
      <t>ショゾク</t>
    </rPh>
    <phoneticPr fontId="21"/>
  </si>
  <si>
    <t>上ノ国町</t>
  </si>
  <si>
    <t>併設本体事業所において処遇改善加算Ⅰの届出あり</t>
    <rPh sb="4" eb="6">
      <t>ジギョウ</t>
    </rPh>
    <rPh sb="6" eb="7">
      <t>ショ</t>
    </rPh>
    <phoneticPr fontId="97"/>
  </si>
  <si>
    <t>幕別町</t>
  </si>
  <si>
    <t>函館市</t>
  </si>
  <si>
    <t>東通村</t>
  </si>
  <si>
    <t>佐川町</t>
  </si>
  <si>
    <t>夜間対応型訪問介護</t>
  </si>
  <si>
    <t>地域密着型通所介護R8</t>
  </si>
  <si>
    <t>富士市</t>
  </si>
  <si>
    <t>八幡市</t>
  </si>
  <si>
    <t>富山市</t>
  </si>
  <si>
    <t>岩手県</t>
  </si>
  <si>
    <t>小樽市</t>
  </si>
  <si>
    <t>定期巡回･随時対応型訪問介護看護</t>
  </si>
  <si>
    <t>永平寺町</t>
  </si>
  <si>
    <t>大崎町</t>
  </si>
  <si>
    <t>特定施設入居者生活介護</t>
  </si>
  <si>
    <t>大江町</t>
  </si>
  <si>
    <t>越谷市</t>
  </si>
  <si>
    <t>定期巡回・随時対応型訪問介護看護R8</t>
  </si>
  <si>
    <t>串本町</t>
  </si>
  <si>
    <t>山口県</t>
  </si>
  <si>
    <t>那珂市</t>
  </si>
  <si>
    <t>76</t>
  </si>
  <si>
    <t>地域密着型介護老人福祉施設</t>
  </si>
  <si>
    <t>室蘭市</t>
  </si>
  <si>
    <t>文京区</t>
    <rPh sb="0" eb="3">
      <t>ブンキョウク</t>
    </rPh>
    <phoneticPr fontId="95"/>
  </si>
  <si>
    <t>対象外</t>
    <rPh sb="0" eb="2">
      <t>タイショウ</t>
    </rPh>
    <rPh sb="2" eb="3">
      <t>ガイ</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</si>
  <si>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5"/>
  </si>
  <si>
    <t>令和８年度特例要件を誓約</t>
    <rPh sb="0" eb="2">
      <t>レイワ</t>
    </rPh>
    <rPh sb="3" eb="5">
      <t>ネンド</t>
    </rPh>
    <rPh sb="5" eb="7">
      <t>トクレイ</t>
    </rPh>
    <rPh sb="7" eb="9">
      <t>ヨウケン</t>
    </rPh>
    <rPh sb="10" eb="12">
      <t>セイヤク</t>
    </rPh>
    <phoneticPr fontId="21"/>
  </si>
  <si>
    <t>美郷町</t>
  </si>
  <si>
    <t>62</t>
  </si>
  <si>
    <t>介護予防</t>
    <rPh sb="0" eb="2">
      <t>カイゴ</t>
    </rPh>
    <rPh sb="2" eb="4">
      <t>ヨボウ</t>
    </rPh>
    <phoneticPr fontId="21"/>
  </si>
  <si>
    <t>たつの市</t>
  </si>
  <si>
    <t>佐野市</t>
  </si>
  <si>
    <t>長瀞町</t>
  </si>
  <si>
    <t>周南市</t>
  </si>
  <si>
    <t>川西市</t>
  </si>
  <si>
    <t>大潟村</t>
  </si>
  <si>
    <t>台東区</t>
    <rPh sb="0" eb="3">
      <t>タイトウク</t>
    </rPh>
    <phoneticPr fontId="95"/>
  </si>
  <si>
    <t>15</t>
  </si>
  <si>
    <t>介護予防支援</t>
  </si>
  <si>
    <t>野迫川村</t>
  </si>
  <si>
    <t>福島県</t>
  </si>
  <si>
    <t>長南町</t>
  </si>
  <si>
    <t>沼田町</t>
  </si>
  <si>
    <t>帯広市</t>
  </si>
  <si>
    <t>海士町</t>
  </si>
  <si>
    <t>地域密着型通所介護Ⅴ</t>
  </si>
  <si>
    <t>壱岐市</t>
  </si>
  <si>
    <t>サービス提供体制強化加算Ⅲイ又はロ</t>
    <rPh sb="4" eb="8">
      <t>テイキョウ</t>
    </rPh>
    <rPh sb="8" eb="10">
      <t>キョウカ</t>
    </rPh>
    <rPh sb="10" eb="12">
      <t>カサン</t>
    </rPh>
    <rPh sb="14" eb="15">
      <t>マタ</t>
    </rPh>
    <phoneticPr fontId="95"/>
  </si>
  <si>
    <t>78</t>
  </si>
  <si>
    <t>三浦市</t>
  </si>
  <si>
    <t>北見市</t>
  </si>
  <si>
    <t>北竜町</t>
  </si>
  <si>
    <t>通所リハビリテーションⅤ</t>
  </si>
  <si>
    <t>阿蘇市</t>
  </si>
  <si>
    <t>特定施設入居者生活介護Ⅴ</t>
  </si>
  <si>
    <t>小規模多機能型居宅介護（短期利用型）</t>
  </si>
  <si>
    <t>通所リハビリテーションR8</t>
  </si>
  <si>
    <t>清須市</t>
  </si>
  <si>
    <t>今別町</t>
  </si>
  <si>
    <t>北塩原村</t>
  </si>
  <si>
    <t>広尾町</t>
  </si>
  <si>
    <t>群馬県</t>
  </si>
  <si>
    <t>品川区</t>
    <rPh sb="0" eb="3">
      <t>シナガワク</t>
    </rPh>
    <phoneticPr fontId="95"/>
  </si>
  <si>
    <t>介護予防通所リハビリテーション</t>
  </si>
  <si>
    <t>岩見沢市</t>
  </si>
  <si>
    <t>目黒区</t>
    <rPh sb="0" eb="3">
      <t>メグロク</t>
    </rPh>
    <phoneticPr fontId="95"/>
  </si>
  <si>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</si>
  <si>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糸島市</t>
  </si>
  <si>
    <t>東大和市</t>
  </si>
  <si>
    <t>竹原市</t>
  </si>
  <si>
    <t>八尾市</t>
  </si>
  <si>
    <t>入居継続支援加算Ⅰ又はⅡ</t>
    <rPh sb="0" eb="2">
      <t>ニュウキョ</t>
    </rPh>
    <rPh sb="2" eb="6">
      <t>ケイゾクシエン</t>
    </rPh>
    <rPh sb="6" eb="8">
      <t>カサン</t>
    </rPh>
    <rPh sb="9" eb="10">
      <t>マタ</t>
    </rPh>
    <phoneticPr fontId="95"/>
  </si>
  <si>
    <t>川場村</t>
  </si>
  <si>
    <t>鋸南町</t>
  </si>
  <si>
    <t>今金町</t>
  </si>
  <si>
    <t>生産性向上推進体制加算Ⅰ又はⅡを算定済</t>
  </si>
  <si>
    <t>吹田市</t>
  </si>
  <si>
    <t>足立区</t>
  </si>
  <si>
    <t>埼玉県</t>
  </si>
  <si>
    <t>特定施設入居者生活介護（短期利用型）</t>
  </si>
  <si>
    <t>むかわ町</t>
  </si>
  <si>
    <t>利島村</t>
  </si>
  <si>
    <t>特定施設入居者生活介護_短期利用型_R8</t>
  </si>
  <si>
    <t>留萌市</t>
  </si>
  <si>
    <t>有田町</t>
  </si>
  <si>
    <t>戸田市</t>
  </si>
  <si>
    <t>河内町</t>
  </si>
  <si>
    <t>23</t>
  </si>
  <si>
    <t>世田谷区</t>
    <rPh sb="0" eb="4">
      <t>セタガヤク</t>
    </rPh>
    <phoneticPr fontId="95"/>
  </si>
  <si>
    <t>介護予防特定施設入居者生活介護</t>
  </si>
  <si>
    <t>苫小牧市</t>
  </si>
  <si>
    <t>通所型サービス（独自／定率）（19人未満）</t>
    <rPh sb="0" eb="2">
      <t>ツウショ</t>
    </rPh>
    <rPh sb="2" eb="3">
      <t>ガタ</t>
    </rPh>
    <rPh sb="8" eb="10">
      <t>ドクジ</t>
    </rPh>
    <rPh sb="11" eb="13">
      <t>テイリツ</t>
    </rPh>
    <phoneticPr fontId="21"/>
  </si>
  <si>
    <t>生産性向上推進体制加算Ⅰ又はⅡの算定を誓約</t>
  </si>
  <si>
    <t>磐梯町</t>
  </si>
  <si>
    <t>キャリアパス要件Ⅰ・Ⅱ_加算対象外</t>
    <rPh sb="12" eb="14">
      <t>カサン</t>
    </rPh>
    <rPh sb="14" eb="17">
      <t>タイショウガイ</t>
    </rPh>
    <phoneticPr fontId="21"/>
  </si>
  <si>
    <t>基山町</t>
  </si>
  <si>
    <t>上尾市</t>
  </si>
  <si>
    <t>36</t>
  </si>
  <si>
    <t>喜界町</t>
  </si>
  <si>
    <t>神奈川県</t>
  </si>
  <si>
    <t>南大東村</t>
  </si>
  <si>
    <t>中川村</t>
  </si>
  <si>
    <t>狛江市</t>
    <rPh sb="0" eb="3">
      <t>コマエシ</t>
    </rPh>
    <phoneticPr fontId="95"/>
  </si>
  <si>
    <t>稚内市</t>
  </si>
  <si>
    <t>22</t>
  </si>
  <si>
    <t>地域密着型特定施設入居者生活介護（短期利用型）</t>
    <rPh sb="17" eb="22">
      <t>タンキリヨウガタ</t>
    </rPh>
    <phoneticPr fontId="21"/>
  </si>
  <si>
    <t>宮古市</t>
  </si>
  <si>
    <t>美唄市</t>
  </si>
  <si>
    <t>白鷹町</t>
  </si>
  <si>
    <t>栗東市</t>
  </si>
  <si>
    <t>5級地</t>
    <rPh sb="1" eb="3">
      <t>キュウチ</t>
    </rPh>
    <phoneticPr fontId="21"/>
  </si>
  <si>
    <t>杉並区</t>
    <rPh sb="0" eb="3">
      <t>スギナミク</t>
    </rPh>
    <phoneticPr fontId="95"/>
  </si>
  <si>
    <t>碧南市</t>
  </si>
  <si>
    <t>五泉市</t>
  </si>
  <si>
    <t>南島原市</t>
  </si>
  <si>
    <t>認知症対応型通所介護R8</t>
  </si>
  <si>
    <t>若狭町</t>
  </si>
  <si>
    <t>富山県</t>
  </si>
  <si>
    <t>留別村</t>
  </si>
  <si>
    <t>大阪市</t>
  </si>
  <si>
    <t>介護予防認知症対応型通所介護R8</t>
  </si>
  <si>
    <t>福島市</t>
  </si>
  <si>
    <t>階上町</t>
  </si>
  <si>
    <t>石川県</t>
  </si>
  <si>
    <t>江別市</t>
  </si>
  <si>
    <t>小規模多機能型居宅介護</t>
  </si>
  <si>
    <t>福島町</t>
  </si>
  <si>
    <t>羽島市</t>
  </si>
  <si>
    <t>えりも町</t>
  </si>
  <si>
    <t>小規模多機能型居宅介護R8</t>
  </si>
  <si>
    <t>73</t>
  </si>
  <si>
    <t>大山崎町</t>
  </si>
  <si>
    <t>つがる市</t>
  </si>
  <si>
    <t>赤平市</t>
  </si>
  <si>
    <t>長柄町</t>
  </si>
  <si>
    <t>荒川区</t>
    <rPh sb="0" eb="3">
      <t>アラカワク</t>
    </rPh>
    <phoneticPr fontId="95"/>
  </si>
  <si>
    <t>小規模多機能型居宅介護_短期利用型_Ⅴ</t>
  </si>
  <si>
    <t>増毛町</t>
  </si>
  <si>
    <t>小規模多機能型居宅介護_短期利用型_R8</t>
  </si>
  <si>
    <t>68</t>
  </si>
  <si>
    <t>小海町</t>
  </si>
  <si>
    <t>短期利用型</t>
    <rPh sb="0" eb="2">
      <t>タンキ</t>
    </rPh>
    <rPh sb="2" eb="4">
      <t>リヨウ</t>
    </rPh>
    <rPh sb="4" eb="5">
      <t>ガタ</t>
    </rPh>
    <phoneticPr fontId="21"/>
  </si>
  <si>
    <t>鉾田市</t>
  </si>
  <si>
    <t>山梨県</t>
  </si>
  <si>
    <t>紋別市</t>
  </si>
  <si>
    <t>板橋区</t>
    <rPh sb="0" eb="3">
      <t>イタバシク</t>
    </rPh>
    <phoneticPr fontId="95"/>
  </si>
  <si>
    <t>筑西市</t>
  </si>
  <si>
    <t>介護予防小規模多機能型居宅介護R8</t>
  </si>
  <si>
    <t>75</t>
  </si>
  <si>
    <t>長野県</t>
  </si>
  <si>
    <t>川棚町</t>
  </si>
  <si>
    <t>士別市</t>
  </si>
  <si>
    <t>嬬恋村</t>
  </si>
  <si>
    <t>浦臼町</t>
  </si>
  <si>
    <t>練馬区</t>
    <rPh sb="0" eb="3">
      <t>ネリマク</t>
    </rPh>
    <phoneticPr fontId="95"/>
  </si>
  <si>
    <t>介護予防小規模多機能型居宅介護（短期利用型）</t>
    <rPh sb="16" eb="21">
      <t>タンキリヨウガタ</t>
    </rPh>
    <phoneticPr fontId="21"/>
  </si>
  <si>
    <t>笠松町</t>
  </si>
  <si>
    <t>輪之内町</t>
  </si>
  <si>
    <t>長岡京市</t>
  </si>
  <si>
    <t>介護予防小規模多機能型居宅介護（短期利用型）</t>
  </si>
  <si>
    <t>介護予防小規模多機能型居宅介護_短期利用型_R8</t>
  </si>
  <si>
    <t>花巻市</t>
  </si>
  <si>
    <t>河南町</t>
  </si>
  <si>
    <t>69</t>
  </si>
  <si>
    <t>釧路町</t>
  </si>
  <si>
    <t>大台町</t>
  </si>
  <si>
    <t>足立区</t>
    <rPh sb="0" eb="3">
      <t>アダチク</t>
    </rPh>
    <phoneticPr fontId="95"/>
  </si>
  <si>
    <t>高岡市</t>
  </si>
  <si>
    <t>複合型サービス_看護小規模多機能型居宅介護_Ⅴ</t>
  </si>
  <si>
    <t>複合型サービス_看護小規模多機能型居宅介護_R8</t>
  </si>
  <si>
    <t>五城目町</t>
  </si>
  <si>
    <t>6級地</t>
    <rPh sb="1" eb="3">
      <t>キュウチ</t>
    </rPh>
    <phoneticPr fontId="21"/>
  </si>
  <si>
    <t>77</t>
  </si>
  <si>
    <t>豊山町</t>
    <rPh sb="0" eb="2">
      <t>トヨヤマ</t>
    </rPh>
    <rPh sb="2" eb="3">
      <t>マチ</t>
    </rPh>
    <phoneticPr fontId="95"/>
  </si>
  <si>
    <t>二戸市</t>
  </si>
  <si>
    <t>岩泉町</t>
  </si>
  <si>
    <t>軽井沢町</t>
  </si>
  <si>
    <t>三笠市</t>
  </si>
  <si>
    <t>葛飾区</t>
    <rPh sb="0" eb="3">
      <t>カツシカク</t>
    </rPh>
    <phoneticPr fontId="95"/>
  </si>
  <si>
    <t>看護小規模多機能型居宅介護（短期利用型）</t>
    <rPh sb="14" eb="19">
      <t>タンキリヨウガタ</t>
    </rPh>
    <phoneticPr fontId="21"/>
  </si>
  <si>
    <t>木曽岬町</t>
  </si>
  <si>
    <t>複合型サービス_看護小規模多機能型居宅介護・短期利用型_Ⅴ</t>
  </si>
  <si>
    <t>南相馬市</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</si>
  <si>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</si>
  <si>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21"/>
  </si>
  <si>
    <t>富士宮市</t>
  </si>
  <si>
    <t>認知症対応型共同生活介護</t>
  </si>
  <si>
    <t>外ヶ浜町</t>
  </si>
  <si>
    <t>港区</t>
  </si>
  <si>
    <t>79</t>
  </si>
  <si>
    <t>愛知県</t>
  </si>
  <si>
    <t>本巣市</t>
  </si>
  <si>
    <t>恵庭市</t>
  </si>
  <si>
    <t>根室市</t>
  </si>
  <si>
    <t>羅臼町</t>
  </si>
  <si>
    <t>琴浦町</t>
  </si>
  <si>
    <t>認知症対応型共同生活介護Ⅴ</t>
  </si>
  <si>
    <t>介護予防短期入所療養介護 （病院等)</t>
  </si>
  <si>
    <t>三重県</t>
  </si>
  <si>
    <t>千歳市</t>
  </si>
  <si>
    <t>足寄町</t>
  </si>
  <si>
    <t>須坂市</t>
  </si>
  <si>
    <t>岩出市</t>
  </si>
  <si>
    <t>平取町</t>
  </si>
  <si>
    <t>認知症対応型共同生活介護（短期利用型）</t>
  </si>
  <si>
    <t>中央市</t>
  </si>
  <si>
    <t>認知症対応型共同生活介護_短期利用型_Ⅴ</t>
  </si>
  <si>
    <t>真室川町</t>
  </si>
  <si>
    <t>日田市</t>
  </si>
  <si>
    <t>認知症対応型共同生活介護_短期利用型_R8</t>
  </si>
  <si>
    <t>清里町</t>
  </si>
  <si>
    <t>北杜市</t>
  </si>
  <si>
    <t>38</t>
  </si>
  <si>
    <t>倉敷市</t>
  </si>
  <si>
    <t>滋賀県</t>
  </si>
  <si>
    <t>滝川市</t>
  </si>
  <si>
    <t>介護予防認知症対応型共同生活介護</t>
    <rPh sb="0" eb="2">
      <t>カイゴ</t>
    </rPh>
    <rPh sb="2" eb="4">
      <t>ヨボウ</t>
    </rPh>
    <phoneticPr fontId="21"/>
  </si>
  <si>
    <t>中泊町</t>
  </si>
  <si>
    <t>飯島町</t>
  </si>
  <si>
    <t>介護予防認知症対応型共同生活介護</t>
  </si>
  <si>
    <t>介護予防認知症対応型共同生活介護R8</t>
  </si>
  <si>
    <t>37</t>
  </si>
  <si>
    <t>砂川市</t>
  </si>
  <si>
    <t>介護予防認知症対応型共同生活介護（短期利用型）</t>
  </si>
  <si>
    <t>八代市</t>
  </si>
  <si>
    <t>留夜別村</t>
  </si>
  <si>
    <t>松原市</t>
  </si>
  <si>
    <t>深浦町</t>
  </si>
  <si>
    <t>男鹿市</t>
  </si>
  <si>
    <t>裾野市</t>
  </si>
  <si>
    <t>さいたま市</t>
  </si>
  <si>
    <t>対象外</t>
    <rPh sb="0" eb="3">
      <t>タイショウガイ</t>
    </rPh>
    <phoneticPr fontId="21"/>
  </si>
  <si>
    <t>幌加内町</t>
  </si>
  <si>
    <t>介護予防認知症対応型共同生活介護_短期利用型_Ⅴ</t>
  </si>
  <si>
    <t>介護予防認知症対応型共同生活介護_短期利用型_R8</t>
  </si>
  <si>
    <t>大阪府</t>
  </si>
  <si>
    <t>綾部市</t>
  </si>
  <si>
    <t>介護老人福祉施設</t>
  </si>
  <si>
    <t>福生市</t>
    <rPh sb="0" eb="3">
      <t>フッサシ</t>
    </rPh>
    <phoneticPr fontId="95"/>
  </si>
  <si>
    <t>藤沢市</t>
  </si>
  <si>
    <t>邑南町</t>
  </si>
  <si>
    <t>宮崎県</t>
  </si>
  <si>
    <t>介護老人福祉施設サービスⅤ</t>
  </si>
  <si>
    <t>東かがわ市</t>
  </si>
  <si>
    <t>大樹町</t>
  </si>
  <si>
    <t>聖籠町</t>
  </si>
  <si>
    <t>日常生活継続支援加算Ⅰ又はⅡ</t>
    <rPh sb="0" eb="10">
      <t>ニチジョウセイカツ</t>
    </rPh>
    <rPh sb="11" eb="12">
      <t>マタ</t>
    </rPh>
    <phoneticPr fontId="95"/>
  </si>
  <si>
    <t>天草市</t>
  </si>
  <si>
    <t>久留米市</t>
  </si>
  <si>
    <t>51</t>
  </si>
  <si>
    <t>兵庫県</t>
  </si>
  <si>
    <t>板橋区</t>
  </si>
  <si>
    <t>富良野市</t>
  </si>
  <si>
    <t>仙台市</t>
  </si>
  <si>
    <t>24</t>
  </si>
  <si>
    <t>深川市</t>
  </si>
  <si>
    <t>東峰村</t>
  </si>
  <si>
    <t>神奈川県</t>
    <rPh sb="0" eb="4">
      <t>カナガワケン</t>
    </rPh>
    <phoneticPr fontId="21"/>
  </si>
  <si>
    <t>大田市</t>
  </si>
  <si>
    <t>地域密着型介護老人福祉施設Ⅴ</t>
  </si>
  <si>
    <t>砺波市</t>
  </si>
  <si>
    <t>地域密着型介護老人福祉施設R8</t>
  </si>
  <si>
    <t>川崎市</t>
    <rPh sb="0" eb="3">
      <t>カワサキシ</t>
    </rPh>
    <phoneticPr fontId="95"/>
  </si>
  <si>
    <t>短期入所生活介護</t>
  </si>
  <si>
    <t>行田市</t>
  </si>
  <si>
    <t>根羽村</t>
  </si>
  <si>
    <t>短期入所生活介護Ⅴ</t>
  </si>
  <si>
    <t>介護予防短期入所生活介護Ⅴ</t>
  </si>
  <si>
    <t>短期入所生活介護R8</t>
  </si>
  <si>
    <t>21</t>
  </si>
  <si>
    <t>和歌山県</t>
  </si>
  <si>
    <t>庄内町</t>
  </si>
  <si>
    <t>能美市</t>
  </si>
  <si>
    <t>介護予防短期入所生活介護</t>
  </si>
  <si>
    <t>横芝光町</t>
  </si>
  <si>
    <t>平生町</t>
  </si>
  <si>
    <t>介護予防短期入所生活介護R8</t>
  </si>
  <si>
    <t>鳥取県</t>
  </si>
  <si>
    <t>日出町</t>
  </si>
  <si>
    <t>大東市</t>
  </si>
  <si>
    <t>3級地</t>
    <rPh sb="1" eb="3">
      <t>キュウチ</t>
    </rPh>
    <phoneticPr fontId="21"/>
  </si>
  <si>
    <t>介護老人保健施設</t>
  </si>
  <si>
    <t>茂原市</t>
  </si>
  <si>
    <t>介護老人保健施設サービスR8</t>
  </si>
  <si>
    <t>島根県</t>
  </si>
  <si>
    <t>伊達市</t>
  </si>
  <si>
    <t>高石市</t>
  </si>
  <si>
    <t>短期入所療養介護（老健）</t>
  </si>
  <si>
    <t>八峰町</t>
  </si>
  <si>
    <t>平田村</t>
  </si>
  <si>
    <t>岐南町</t>
  </si>
  <si>
    <t>併設本体施設において処遇改善加算Ⅰの届出あり</t>
    <rPh sb="2" eb="4">
      <t>ホンタイ</t>
    </rPh>
    <rPh sb="4" eb="6">
      <t>シセツ</t>
    </rPh>
    <rPh sb="18" eb="20">
      <t>トドケデ</t>
    </rPh>
    <phoneticPr fontId="21"/>
  </si>
  <si>
    <t>訓子府町</t>
  </si>
  <si>
    <t>短期入所療養介護_介護老人保健施設_R8</t>
  </si>
  <si>
    <t>刈羽村</t>
  </si>
  <si>
    <t>南あわじ市</t>
  </si>
  <si>
    <t>須賀川市</t>
  </si>
  <si>
    <t>柏崎市</t>
  </si>
  <si>
    <t>山ノ内町</t>
  </si>
  <si>
    <t>岡山県</t>
  </si>
  <si>
    <t>北広島市</t>
  </si>
  <si>
    <t>浦安市</t>
  </si>
  <si>
    <t>結城市</t>
  </si>
  <si>
    <t>利尻町</t>
  </si>
  <si>
    <t>佐井村</t>
  </si>
  <si>
    <t>天城町</t>
  </si>
  <si>
    <t>横須賀市</t>
  </si>
  <si>
    <t>A4</t>
  </si>
  <si>
    <t>介護予防短期入所療養介護_介護老人保健施設_R8</t>
  </si>
  <si>
    <t>真庭市</t>
  </si>
  <si>
    <t>色丹村</t>
    <rPh sb="0" eb="3">
      <t>シコタンムラ</t>
    </rPh>
    <phoneticPr fontId="95"/>
  </si>
  <si>
    <t>日野町</t>
  </si>
  <si>
    <t>25</t>
  </si>
  <si>
    <t>広島県</t>
  </si>
  <si>
    <t>石狩市</t>
  </si>
  <si>
    <t>由利本荘市</t>
  </si>
  <si>
    <t>香川県</t>
  </si>
  <si>
    <t>志木市</t>
    <rPh sb="0" eb="3">
      <t>シキシ</t>
    </rPh>
    <phoneticPr fontId="95"/>
  </si>
  <si>
    <t>短期入所療養介護 （病院等)</t>
  </si>
  <si>
    <t>昭島市</t>
  </si>
  <si>
    <t>橋本市</t>
  </si>
  <si>
    <t>武蔵野市</t>
  </si>
  <si>
    <t>島田市</t>
  </si>
  <si>
    <t>26</t>
  </si>
  <si>
    <t>東神楽町</t>
  </si>
  <si>
    <t>三鷹市</t>
  </si>
  <si>
    <t>境港市</t>
  </si>
  <si>
    <t>介護医療院</t>
  </si>
  <si>
    <t>洲本市</t>
  </si>
  <si>
    <t>野木町</t>
  </si>
  <si>
    <t>介護医療院サービスR8</t>
  </si>
  <si>
    <t>東近江市</t>
  </si>
  <si>
    <t>渡名喜村</t>
  </si>
  <si>
    <t>新篠津村</t>
  </si>
  <si>
    <t>涌谷町</t>
  </si>
  <si>
    <t>短期入所療養介護 （医療院)</t>
    <rPh sb="10" eb="12">
      <t>イリョウ</t>
    </rPh>
    <rPh sb="12" eb="13">
      <t>イン</t>
    </rPh>
    <phoneticPr fontId="21"/>
  </si>
  <si>
    <t>短期入所療養介護_介護医療院_Ⅴ</t>
  </si>
  <si>
    <t>狭山市</t>
  </si>
  <si>
    <t>高崎市</t>
  </si>
  <si>
    <t>亘理町</t>
  </si>
  <si>
    <t>松前町</t>
  </si>
  <si>
    <t>神恵内村</t>
  </si>
  <si>
    <t>ときがわ町</t>
  </si>
  <si>
    <t>介護予防短期入所療養介護 （医療院)</t>
    <rPh sb="14" eb="16">
      <t>イリョウ</t>
    </rPh>
    <rPh sb="16" eb="17">
      <t>イン</t>
    </rPh>
    <phoneticPr fontId="21"/>
  </si>
  <si>
    <t>介護予防短期入所療養介護_介護医療院_Ⅴ</t>
  </si>
  <si>
    <t>常陸太田市</t>
  </si>
  <si>
    <t>水戸市</t>
  </si>
  <si>
    <t>2B</t>
  </si>
  <si>
    <t>訪問型サービス（独自）</t>
    <rPh sb="0" eb="2">
      <t>ホウモン</t>
    </rPh>
    <rPh sb="2" eb="3">
      <t>ガタ</t>
    </rPh>
    <rPh sb="8" eb="10">
      <t>ドクジ</t>
    </rPh>
    <phoneticPr fontId="21"/>
  </si>
  <si>
    <t>八頭町</t>
  </si>
  <si>
    <t>小布施町</t>
  </si>
  <si>
    <t>訪問型サービス_独自_Ⅴ</t>
  </si>
  <si>
    <t>訪問型サービス_独自_R8</t>
  </si>
  <si>
    <t>吉川市</t>
  </si>
  <si>
    <t>A2</t>
  </si>
  <si>
    <t>球磨村</t>
  </si>
  <si>
    <t>福岡県</t>
  </si>
  <si>
    <t>小平市</t>
  </si>
  <si>
    <t>大蔵村</t>
  </si>
  <si>
    <t>阿南市</t>
  </si>
  <si>
    <t>訪問型サービス（独自／定率）</t>
    <rPh sb="0" eb="2">
      <t>ホウモン</t>
    </rPh>
    <rPh sb="2" eb="3">
      <t>ガタ</t>
    </rPh>
    <rPh sb="8" eb="10">
      <t>ドクジ</t>
    </rPh>
    <rPh sb="11" eb="13">
      <t>テイリツ</t>
    </rPh>
    <phoneticPr fontId="21"/>
  </si>
  <si>
    <t>南種子町</t>
  </si>
  <si>
    <t>厚沢部町</t>
  </si>
  <si>
    <t>毛呂山町</t>
  </si>
  <si>
    <t>由仁町</t>
  </si>
  <si>
    <t>佐賀県</t>
  </si>
  <si>
    <t>市川町</t>
  </si>
  <si>
    <t>木古内町</t>
  </si>
  <si>
    <t>豊郷町</t>
  </si>
  <si>
    <t>大鰐町</t>
  </si>
  <si>
    <t>日野市</t>
  </si>
  <si>
    <t>伊丹市</t>
  </si>
  <si>
    <t>名古屋市</t>
  </si>
  <si>
    <t>訪問型サービス（独自／定額）</t>
    <rPh sb="0" eb="2">
      <t>ホウモン</t>
    </rPh>
    <rPh sb="2" eb="3">
      <t>ガタ</t>
    </rPh>
    <rPh sb="8" eb="10">
      <t>ドクジ</t>
    </rPh>
    <rPh sb="11" eb="13">
      <t>テイガク</t>
    </rPh>
    <phoneticPr fontId="21"/>
  </si>
  <si>
    <t>七飯町</t>
  </si>
  <si>
    <t>通所型サービス（独自）（19人以上）</t>
    <rPh sb="0" eb="2">
      <t>ツウショ</t>
    </rPh>
    <rPh sb="2" eb="3">
      <t>ガタ</t>
    </rPh>
    <rPh sb="8" eb="10">
      <t>ドクジ</t>
    </rPh>
    <phoneticPr fontId="21"/>
  </si>
  <si>
    <t>サービス提供体制強化加算Ⅱ</t>
  </si>
  <si>
    <t>柳津町</t>
  </si>
  <si>
    <t>介護予防訪問看護</t>
  </si>
  <si>
    <t>うきは市</t>
  </si>
  <si>
    <t>南部町</t>
  </si>
  <si>
    <t>A6</t>
  </si>
  <si>
    <t>国分寺市</t>
  </si>
  <si>
    <t>熊本県</t>
  </si>
  <si>
    <t>志木市</t>
  </si>
  <si>
    <t>鹿部町</t>
  </si>
  <si>
    <t>上士幌町</t>
  </si>
  <si>
    <t>粟島浦村</t>
  </si>
  <si>
    <t>通所型サービス（独自／定率）（19人以上）</t>
    <rPh sb="0" eb="2">
      <t>ツウショ</t>
    </rPh>
    <rPh sb="2" eb="3">
      <t>ガタ</t>
    </rPh>
    <rPh sb="8" eb="10">
      <t>ドクジ</t>
    </rPh>
    <rPh sb="11" eb="13">
      <t>テイリツ</t>
    </rPh>
    <rPh sb="17" eb="18">
      <t>ニン</t>
    </rPh>
    <rPh sb="18" eb="20">
      <t>イジョウ</t>
    </rPh>
    <phoneticPr fontId="21"/>
  </si>
  <si>
    <t>兵庫県</t>
    <rPh sb="0" eb="3">
      <t>ヒョウゴケン</t>
    </rPh>
    <phoneticPr fontId="21"/>
  </si>
  <si>
    <t>中間市</t>
  </si>
  <si>
    <t>和光市</t>
    <rPh sb="0" eb="3">
      <t>ワコウシ</t>
    </rPh>
    <phoneticPr fontId="95"/>
  </si>
  <si>
    <t>A7</t>
  </si>
  <si>
    <t>上北山村</t>
  </si>
  <si>
    <t>大分県</t>
  </si>
  <si>
    <t>伊賀市</t>
  </si>
  <si>
    <t>森町</t>
  </si>
  <si>
    <t>総社市</t>
  </si>
  <si>
    <t>国立市</t>
  </si>
  <si>
    <t>高島市</t>
    <rPh sb="0" eb="3">
      <t>タカシマシ</t>
    </rPh>
    <phoneticPr fontId="95"/>
  </si>
  <si>
    <t>通所型サービス（独自／定額）（19人以上）</t>
    <rPh sb="0" eb="2">
      <t>ツウショ</t>
    </rPh>
    <rPh sb="2" eb="3">
      <t>ガタ</t>
    </rPh>
    <rPh sb="8" eb="10">
      <t>ドクジ</t>
    </rPh>
    <rPh sb="11" eb="13">
      <t>テイガク</t>
    </rPh>
    <phoneticPr fontId="21"/>
  </si>
  <si>
    <t>八雲町</t>
  </si>
  <si>
    <t>清瀬市</t>
    <rPh sb="0" eb="3">
      <t>キヨセシ</t>
    </rPh>
    <phoneticPr fontId="95"/>
  </si>
  <si>
    <t>介護予防ケアマネジメント</t>
    <rPh sb="0" eb="2">
      <t>カイゴ</t>
    </rPh>
    <rPh sb="2" eb="4">
      <t>ヨボウ</t>
    </rPh>
    <phoneticPr fontId="21"/>
  </si>
  <si>
    <t>高萩市</t>
  </si>
  <si>
    <t>通所型サービス（独自）（19人未満）</t>
    <rPh sb="0" eb="2">
      <t>ツウショ</t>
    </rPh>
    <rPh sb="2" eb="3">
      <t>ガタ</t>
    </rPh>
    <rPh sb="8" eb="10">
      <t>ドクジ</t>
    </rPh>
    <rPh sb="15" eb="17">
      <t>ミマン</t>
    </rPh>
    <phoneticPr fontId="21"/>
  </si>
  <si>
    <t>新潟市</t>
  </si>
  <si>
    <t>伊東市</t>
  </si>
  <si>
    <t>福岡市</t>
  </si>
  <si>
    <t>訪問看護</t>
  </si>
  <si>
    <t>江差町</t>
  </si>
  <si>
    <t>市貝町</t>
  </si>
  <si>
    <t>五所川原市</t>
  </si>
  <si>
    <t>西東京市</t>
  </si>
  <si>
    <t>加算対象外</t>
    <rPh sb="0" eb="5">
      <t>カサンタイショウガイ</t>
    </rPh>
    <phoneticPr fontId="21"/>
  </si>
  <si>
    <t>京田辺市</t>
  </si>
  <si>
    <t>富加町</t>
  </si>
  <si>
    <t>介護予防訪問リハビリテーション</t>
  </si>
  <si>
    <t>津幡町</t>
  </si>
  <si>
    <t>朝霞市</t>
  </si>
  <si>
    <t>宗像市</t>
  </si>
  <si>
    <t>河合町</t>
  </si>
  <si>
    <t>北中城村</t>
  </si>
  <si>
    <t>乙部町</t>
  </si>
  <si>
    <t>石岡市</t>
  </si>
  <si>
    <t>居宅介護支援</t>
  </si>
  <si>
    <t>鮭川村</t>
  </si>
  <si>
    <t>奥尻町</t>
  </si>
  <si>
    <t>愛知県</t>
    <rPh sb="0" eb="3">
      <t>アイチケン</t>
    </rPh>
    <phoneticPr fontId="21"/>
  </si>
  <si>
    <t>朝来市</t>
  </si>
  <si>
    <t>掛川市</t>
  </si>
  <si>
    <t>社会福祉連携推進法人に所属</t>
  </si>
  <si>
    <t>守口市</t>
  </si>
  <si>
    <t>上川町</t>
  </si>
  <si>
    <t>金ケ崎町</t>
  </si>
  <si>
    <t>寿都町</t>
  </si>
  <si>
    <t>深谷市</t>
  </si>
  <si>
    <t>黒松内町</t>
  </si>
  <si>
    <t>葉山町</t>
  </si>
  <si>
    <t>門真市</t>
  </si>
  <si>
    <t>尾鷲市</t>
  </si>
  <si>
    <t>蘭越町</t>
  </si>
  <si>
    <t>西尾市</t>
  </si>
  <si>
    <t>真狩村</t>
  </si>
  <si>
    <t>宝塚市</t>
  </si>
  <si>
    <t>大崎上島町</t>
  </si>
  <si>
    <t>4級地</t>
    <rPh sb="1" eb="3">
      <t>キュウチ</t>
    </rPh>
    <phoneticPr fontId="21"/>
  </si>
  <si>
    <t>館山市</t>
  </si>
  <si>
    <t>倶知安町</t>
  </si>
  <si>
    <t>共和町</t>
  </si>
  <si>
    <t>白老町</t>
  </si>
  <si>
    <t>岩内町</t>
  </si>
  <si>
    <t>野田市</t>
  </si>
  <si>
    <t>上野原市</t>
  </si>
  <si>
    <t>習志野市</t>
  </si>
  <si>
    <t>与那国町</t>
  </si>
  <si>
    <t>積丹町</t>
  </si>
  <si>
    <t>仁木町</t>
  </si>
  <si>
    <t>志摩市</t>
  </si>
  <si>
    <t>赤井川村</t>
  </si>
  <si>
    <t>南幌町</t>
  </si>
  <si>
    <t>奈井江町</t>
  </si>
  <si>
    <t>朝日村</t>
  </si>
  <si>
    <t>水巻町</t>
  </si>
  <si>
    <t>上砂川町</t>
  </si>
  <si>
    <t>豊中市</t>
  </si>
  <si>
    <t>見附市</t>
  </si>
  <si>
    <t>高千穂町</t>
  </si>
  <si>
    <t>三豊市</t>
  </si>
  <si>
    <t>飯舘村</t>
  </si>
  <si>
    <t>早島町</t>
  </si>
  <si>
    <t>栗山町</t>
  </si>
  <si>
    <t>月形町</t>
  </si>
  <si>
    <t>高槻市</t>
  </si>
  <si>
    <t>寝屋川市</t>
  </si>
  <si>
    <t>新十津川町</t>
  </si>
  <si>
    <t>多摩市</t>
  </si>
  <si>
    <t>川崎町</t>
  </si>
  <si>
    <t>美幌町</t>
  </si>
  <si>
    <t>垂井町</t>
  </si>
  <si>
    <t>箕面市</t>
  </si>
  <si>
    <t>秩父別町</t>
  </si>
  <si>
    <t>神戸市</t>
  </si>
  <si>
    <t>雨竜町</t>
  </si>
  <si>
    <t>神戸町</t>
  </si>
  <si>
    <t>龍ケ崎市</t>
  </si>
  <si>
    <t>八千代町</t>
  </si>
  <si>
    <t>鷹栖町</t>
  </si>
  <si>
    <t>つくば市</t>
  </si>
  <si>
    <t>小平町</t>
  </si>
  <si>
    <t>当麻町</t>
  </si>
  <si>
    <t>練馬区</t>
  </si>
  <si>
    <t>比布町</t>
  </si>
  <si>
    <t>むつ市</t>
  </si>
  <si>
    <t>日の出町</t>
  </si>
  <si>
    <t>豊丘村</t>
  </si>
  <si>
    <t>坂出市</t>
  </si>
  <si>
    <t>川口市</t>
  </si>
  <si>
    <t>日南市</t>
  </si>
  <si>
    <t>愛別町</t>
  </si>
  <si>
    <t>玉野市</t>
  </si>
  <si>
    <t>大野城市</t>
  </si>
  <si>
    <t>中之条町</t>
  </si>
  <si>
    <t>草加市</t>
  </si>
  <si>
    <t>美瑛町</t>
  </si>
  <si>
    <t>中富良野町</t>
  </si>
  <si>
    <t>長和町</t>
  </si>
  <si>
    <t>松戸市</t>
  </si>
  <si>
    <t>八千代市</t>
  </si>
  <si>
    <t>枕崎市</t>
  </si>
  <si>
    <t>下川町</t>
  </si>
  <si>
    <t>阪南市</t>
  </si>
  <si>
    <t>小川村</t>
  </si>
  <si>
    <t>幸手市</t>
  </si>
  <si>
    <t>袖ケ浦市</t>
  </si>
  <si>
    <t>音威子府村</t>
  </si>
  <si>
    <t>いなべ市</t>
  </si>
  <si>
    <t>川辺町</t>
  </si>
  <si>
    <t>中川町</t>
  </si>
  <si>
    <t>あきる野市</t>
  </si>
  <si>
    <t>金山町</t>
  </si>
  <si>
    <t>苫前町</t>
  </si>
  <si>
    <t>平塚市</t>
  </si>
  <si>
    <t>初山別村</t>
  </si>
  <si>
    <t>茅ヶ崎市</t>
  </si>
  <si>
    <t>新庄市</t>
  </si>
  <si>
    <t>多治見市</t>
  </si>
  <si>
    <t>東大阪市</t>
  </si>
  <si>
    <t>大和市</t>
  </si>
  <si>
    <t>天塩町</t>
  </si>
  <si>
    <t>鏡石町</t>
  </si>
  <si>
    <t>清瀬市</t>
  </si>
  <si>
    <t>伊勢原市</t>
  </si>
  <si>
    <t>猿払村</t>
  </si>
  <si>
    <t>座間市</t>
  </si>
  <si>
    <t>海津市</t>
  </si>
  <si>
    <t>釜石市</t>
  </si>
  <si>
    <t>山鹿市</t>
  </si>
  <si>
    <t>王寺町</t>
  </si>
  <si>
    <t>浜頓別町</t>
  </si>
  <si>
    <t>綾瀬市</t>
  </si>
  <si>
    <t>中頓別町</t>
  </si>
  <si>
    <t>枝幸町</t>
  </si>
  <si>
    <t>利尻富士町</t>
  </si>
  <si>
    <t>北本市</t>
  </si>
  <si>
    <t>みよし市</t>
    <rPh sb="3" eb="4">
      <t>シ</t>
    </rPh>
    <phoneticPr fontId="95"/>
  </si>
  <si>
    <t>能勢町</t>
  </si>
  <si>
    <t>知多市</t>
  </si>
  <si>
    <t>横浜市</t>
  </si>
  <si>
    <t>豊島区</t>
  </si>
  <si>
    <t>飯能市</t>
    <rPh sb="0" eb="3">
      <t>ハンノウシ</t>
    </rPh>
    <phoneticPr fontId="95"/>
  </si>
  <si>
    <t>幌延町</t>
  </si>
  <si>
    <t>鹿角市</t>
  </si>
  <si>
    <t>大津市</t>
  </si>
  <si>
    <t>和泊町</t>
  </si>
  <si>
    <t>草津市</t>
  </si>
  <si>
    <t>津別町</t>
  </si>
  <si>
    <t>檜枝岐村</t>
  </si>
  <si>
    <t>京都市</t>
  </si>
  <si>
    <t>日高川町</t>
  </si>
  <si>
    <t>小清水町</t>
  </si>
  <si>
    <t>伊勢市</t>
  </si>
  <si>
    <t>置戸町</t>
  </si>
  <si>
    <t>茨木市</t>
  </si>
  <si>
    <t>土岐市</t>
  </si>
  <si>
    <t>佐呂間町</t>
  </si>
  <si>
    <t>遠軽町</t>
  </si>
  <si>
    <t>井手町</t>
  </si>
  <si>
    <t>遠野市</t>
  </si>
  <si>
    <t>加茂市</t>
  </si>
  <si>
    <t>興部町</t>
  </si>
  <si>
    <t>赤穂市</t>
  </si>
  <si>
    <t>岸和田市</t>
  </si>
  <si>
    <t>交野市</t>
  </si>
  <si>
    <t>北名古屋市</t>
  </si>
  <si>
    <t>出雲崎町</t>
  </si>
  <si>
    <t>備前市</t>
  </si>
  <si>
    <t>大空町</t>
  </si>
  <si>
    <t>豊浦町</t>
  </si>
  <si>
    <t>壮瞥町</t>
  </si>
  <si>
    <t>府中町</t>
  </si>
  <si>
    <t>みなべ町</t>
  </si>
  <si>
    <t>福岡市</t>
    <rPh sb="0" eb="3">
      <t>フクオカシ</t>
    </rPh>
    <phoneticPr fontId="95"/>
  </si>
  <si>
    <t>安平町</t>
  </si>
  <si>
    <t>春日市</t>
    <rPh sb="0" eb="3">
      <t>カスガシ</t>
    </rPh>
    <phoneticPr fontId="95"/>
  </si>
  <si>
    <t>双葉町</t>
  </si>
  <si>
    <t>多賀城市</t>
    <rPh sb="0" eb="4">
      <t>タガジョウシ</t>
    </rPh>
    <phoneticPr fontId="95"/>
  </si>
  <si>
    <t>新冠町</t>
  </si>
  <si>
    <t>古河市</t>
  </si>
  <si>
    <t>利根町</t>
  </si>
  <si>
    <t>様似町</t>
  </si>
  <si>
    <t>武豊町</t>
    <rPh sb="0" eb="3">
      <t>タケトヨチョウ</t>
    </rPh>
    <phoneticPr fontId="95"/>
  </si>
  <si>
    <t>宇都宮市</t>
  </si>
  <si>
    <t>白馬村</t>
  </si>
  <si>
    <t>蔵王町</t>
  </si>
  <si>
    <t>淡路市</t>
  </si>
  <si>
    <t>新ひだか町</t>
  </si>
  <si>
    <t>松田町</t>
  </si>
  <si>
    <t>五木村</t>
  </si>
  <si>
    <t>音更町</t>
  </si>
  <si>
    <t>川越市</t>
  </si>
  <si>
    <t>所沢市</t>
  </si>
  <si>
    <t>草津町</t>
  </si>
  <si>
    <t>鹿追町</t>
  </si>
  <si>
    <t>新得町</t>
  </si>
  <si>
    <t>加須市</t>
  </si>
  <si>
    <t>芽室町</t>
  </si>
  <si>
    <t>春日部市</t>
  </si>
  <si>
    <t>中札内村</t>
  </si>
  <si>
    <t>更別村</t>
  </si>
  <si>
    <t>池田町</t>
  </si>
  <si>
    <t>本別町</t>
  </si>
  <si>
    <t>長島町</t>
  </si>
  <si>
    <t>久喜市</t>
  </si>
  <si>
    <t>陸別町</t>
  </si>
  <si>
    <t>浦幌町</t>
  </si>
  <si>
    <t>生坂村</t>
  </si>
  <si>
    <t>三郷市</t>
  </si>
  <si>
    <t>弟子屈町</t>
  </si>
  <si>
    <t>鶴ヶ島市</t>
  </si>
  <si>
    <t>鶴居村</t>
  </si>
  <si>
    <t>白糠町</t>
  </si>
  <si>
    <t>白岡市</t>
    <rPh sb="0" eb="2">
      <t>シラオカ</t>
    </rPh>
    <rPh sb="2" eb="3">
      <t>シ</t>
    </rPh>
    <phoneticPr fontId="95"/>
  </si>
  <si>
    <t>吉見町</t>
  </si>
  <si>
    <t>別海町</t>
  </si>
  <si>
    <t>相生市</t>
  </si>
  <si>
    <t>伊奈町</t>
  </si>
  <si>
    <t>三芳町</t>
  </si>
  <si>
    <t>杉戸町</t>
  </si>
  <si>
    <t>広野町</t>
  </si>
  <si>
    <t>柏市</t>
  </si>
  <si>
    <t>流山市</t>
  </si>
  <si>
    <t>我孫子市</t>
  </si>
  <si>
    <t>荒川区</t>
  </si>
  <si>
    <t>太良町</t>
  </si>
  <si>
    <t>弘前市</t>
  </si>
  <si>
    <t>大川市</t>
  </si>
  <si>
    <t>八戸市</t>
  </si>
  <si>
    <t>黒石市</t>
  </si>
  <si>
    <t>酒々井町</t>
  </si>
  <si>
    <t>武蔵村山市</t>
  </si>
  <si>
    <t>十和田市</t>
  </si>
  <si>
    <t>檜原村</t>
  </si>
  <si>
    <t>平川市</t>
  </si>
  <si>
    <t>富田林市</t>
  </si>
  <si>
    <t>秦野市</t>
  </si>
  <si>
    <t>平内町</t>
  </si>
  <si>
    <t>大磯町</t>
  </si>
  <si>
    <t>二宮町</t>
  </si>
  <si>
    <t>中井町</t>
    <rPh sb="0" eb="2">
      <t>ナカイ</t>
    </rPh>
    <phoneticPr fontId="95"/>
  </si>
  <si>
    <t>清川村</t>
  </si>
  <si>
    <t>渋谷区</t>
  </si>
  <si>
    <t>鰺ヶ沢町</t>
  </si>
  <si>
    <t>静岡市</t>
  </si>
  <si>
    <t>西目屋村</t>
  </si>
  <si>
    <t>岩美町</t>
  </si>
  <si>
    <t>岡崎市</t>
  </si>
  <si>
    <t>藤崎町</t>
  </si>
  <si>
    <t>一宮市</t>
  </si>
  <si>
    <t>瀬戸市</t>
    <rPh sb="0" eb="3">
      <t>セトシ</t>
    </rPh>
    <phoneticPr fontId="95"/>
  </si>
  <si>
    <t>粕屋町</t>
  </si>
  <si>
    <t>田舎館村</t>
  </si>
  <si>
    <t>板柳町</t>
  </si>
  <si>
    <t>南三陸町</t>
  </si>
  <si>
    <t>川崎市</t>
  </si>
  <si>
    <t>五條市</t>
  </si>
  <si>
    <t>鶴田町</t>
  </si>
  <si>
    <t>野辺地町</t>
  </si>
  <si>
    <t>七戸町</t>
  </si>
  <si>
    <t>犬山市</t>
  </si>
  <si>
    <t>六戸町</t>
  </si>
  <si>
    <t>江南市</t>
  </si>
  <si>
    <t>横浜町</t>
  </si>
  <si>
    <t>稲沢市</t>
  </si>
  <si>
    <t>東北町</t>
  </si>
  <si>
    <t>尾張旭市</t>
  </si>
  <si>
    <t>六ヶ所村</t>
  </si>
  <si>
    <t>印南町</t>
  </si>
  <si>
    <t>大間町</t>
  </si>
  <si>
    <t>南足柄市</t>
  </si>
  <si>
    <t>紀の川市</t>
  </si>
  <si>
    <t>清須市</t>
    <rPh sb="0" eb="3">
      <t>キヨスシ</t>
    </rPh>
    <phoneticPr fontId="95"/>
  </si>
  <si>
    <t>みやこ町</t>
  </si>
  <si>
    <t>京丹波町</t>
  </si>
  <si>
    <t>風間浦村</t>
  </si>
  <si>
    <t>豊川市</t>
  </si>
  <si>
    <t>松阪市</t>
  </si>
  <si>
    <t>三戸町</t>
  </si>
  <si>
    <t>あま市</t>
  </si>
  <si>
    <t>五戸町</t>
  </si>
  <si>
    <t>長久手市</t>
  </si>
  <si>
    <t>葛巻町</t>
  </si>
  <si>
    <t>田子町</t>
  </si>
  <si>
    <t>大治町</t>
  </si>
  <si>
    <t>菊陽町</t>
  </si>
  <si>
    <t>大多喜町</t>
  </si>
  <si>
    <t>新宿区</t>
  </si>
  <si>
    <t>新郷村</t>
  </si>
  <si>
    <t>盛岡市</t>
  </si>
  <si>
    <t>那賀町</t>
  </si>
  <si>
    <t>開成町</t>
  </si>
  <si>
    <t>飛島村</t>
    <rPh sb="0" eb="3">
      <t>トビシマムラ</t>
    </rPh>
    <phoneticPr fontId="95"/>
  </si>
  <si>
    <t>大船渡市</t>
  </si>
  <si>
    <t>四日市市</t>
  </si>
  <si>
    <t>伊平屋村</t>
  </si>
  <si>
    <t>北上市</t>
  </si>
  <si>
    <t>7級地</t>
    <rPh sb="1" eb="3">
      <t>キュウチ</t>
    </rPh>
    <phoneticPr fontId="21"/>
  </si>
  <si>
    <t>鈴鹿市</t>
  </si>
  <si>
    <t>信濃町</t>
  </si>
  <si>
    <t>和束町</t>
  </si>
  <si>
    <t>愛荘町</t>
  </si>
  <si>
    <t>亀山市</t>
  </si>
  <si>
    <t>彦根市</t>
  </si>
  <si>
    <t>玉城町</t>
  </si>
  <si>
    <t>一関市</t>
  </si>
  <si>
    <t>守山市</t>
  </si>
  <si>
    <t>陸前高田市</t>
  </si>
  <si>
    <t>甲賀市</t>
  </si>
  <si>
    <t>宇治市</t>
  </si>
  <si>
    <t>睦沢町</t>
  </si>
  <si>
    <t>亀岡市</t>
  </si>
  <si>
    <t>八幡平市</t>
  </si>
  <si>
    <t>城陽市</t>
  </si>
  <si>
    <t>奥州市</t>
  </si>
  <si>
    <t>向日市</t>
  </si>
  <si>
    <t>富士見町</t>
  </si>
  <si>
    <t>和木町</t>
  </si>
  <si>
    <t>滝沢市</t>
    <rPh sb="2" eb="3">
      <t>シ</t>
    </rPh>
    <phoneticPr fontId="95"/>
  </si>
  <si>
    <t>錦江町</t>
  </si>
  <si>
    <t>最上町</t>
  </si>
  <si>
    <t>中能登町</t>
  </si>
  <si>
    <t>雫石町</t>
  </si>
  <si>
    <t>さくら市</t>
  </si>
  <si>
    <t>岩手町</t>
  </si>
  <si>
    <t>紫波町</t>
  </si>
  <si>
    <t>矢巾町</t>
  </si>
  <si>
    <t>長生村</t>
  </si>
  <si>
    <t>西和賀町</t>
  </si>
  <si>
    <t>泉大津市</t>
  </si>
  <si>
    <t>泉佐野市</t>
  </si>
  <si>
    <t>綾町</t>
  </si>
  <si>
    <t>住田町</t>
  </si>
  <si>
    <t>北川村</t>
  </si>
  <si>
    <t>大槌町</t>
  </si>
  <si>
    <t>綾川町</t>
  </si>
  <si>
    <t>柏原市</t>
  </si>
  <si>
    <t>田野畑村</t>
  </si>
  <si>
    <t>扶桑町</t>
  </si>
  <si>
    <t>桑折町</t>
  </si>
  <si>
    <t>羽曳野市</t>
  </si>
  <si>
    <t>⑤の必要数チェック</t>
    <rPh sb="2" eb="4">
      <t>ヒツヨウ</t>
    </rPh>
    <rPh sb="4" eb="5">
      <t>スウ</t>
    </rPh>
    <phoneticPr fontId="21"/>
  </si>
  <si>
    <t>那須町</t>
  </si>
  <si>
    <t>藤井寺市</t>
  </si>
  <si>
    <t>藤枝市</t>
  </si>
  <si>
    <t>茅野市</t>
  </si>
  <si>
    <t>泉南市</t>
  </si>
  <si>
    <t>野田村</t>
  </si>
  <si>
    <t>米子市</t>
  </si>
  <si>
    <t>九戸村</t>
  </si>
  <si>
    <t>加賀市</t>
  </si>
  <si>
    <t>加古川市</t>
  </si>
  <si>
    <t>洋野町</t>
  </si>
  <si>
    <t>国富町</t>
  </si>
  <si>
    <t>一戸町</t>
  </si>
  <si>
    <t>石巻市</t>
  </si>
  <si>
    <t>忠岡町</t>
  </si>
  <si>
    <t>木城町</t>
  </si>
  <si>
    <t>熊取町</t>
  </si>
  <si>
    <t>田尻町</t>
  </si>
  <si>
    <t>臼杵市</t>
  </si>
  <si>
    <t>白石市</t>
  </si>
  <si>
    <t>長泉町</t>
  </si>
  <si>
    <t>岬町</t>
  </si>
  <si>
    <t>名取市</t>
  </si>
  <si>
    <t>太子町</t>
  </si>
  <si>
    <t>熊野市</t>
  </si>
  <si>
    <t>多賀城市</t>
  </si>
  <si>
    <t>千早赤阪村</t>
  </si>
  <si>
    <t>登米市</t>
  </si>
  <si>
    <t>猪名川町</t>
  </si>
  <si>
    <t>御船町</t>
  </si>
  <si>
    <t>海老名市</t>
  </si>
  <si>
    <t>奈良市</t>
  </si>
  <si>
    <t>東松島市</t>
  </si>
  <si>
    <t>大和郡山市</t>
  </si>
  <si>
    <t>生駒市</t>
  </si>
  <si>
    <t>富谷市</t>
    <rPh sb="2" eb="3">
      <t>シ</t>
    </rPh>
    <phoneticPr fontId="95"/>
  </si>
  <si>
    <t>北区</t>
  </si>
  <si>
    <t>和歌山市</t>
  </si>
  <si>
    <t>半田市</t>
  </si>
  <si>
    <t>大河原町</t>
  </si>
  <si>
    <t>太宰府市</t>
  </si>
  <si>
    <t>米沢市</t>
  </si>
  <si>
    <t>村田町</t>
  </si>
  <si>
    <t>弥彦村</t>
  </si>
  <si>
    <t>福津市</t>
  </si>
  <si>
    <t>柴田町</t>
  </si>
  <si>
    <t>富里市</t>
  </si>
  <si>
    <t>丸森町</t>
  </si>
  <si>
    <t>山元町</t>
  </si>
  <si>
    <t>松島町</t>
  </si>
  <si>
    <t>村上市</t>
  </si>
  <si>
    <t>通所型サービス_独自_定率_19人以上_Ⅴ</t>
  </si>
  <si>
    <t>下妻市</t>
  </si>
  <si>
    <t>七ヶ浜町</t>
  </si>
  <si>
    <t>常総市</t>
  </si>
  <si>
    <t>栄村</t>
  </si>
  <si>
    <t>利府町</t>
  </si>
  <si>
    <t>笠間市</t>
  </si>
  <si>
    <t>城里町</t>
  </si>
  <si>
    <t>ひたちなか市</t>
  </si>
  <si>
    <t>大衡村</t>
  </si>
  <si>
    <t>宇治田原町</t>
  </si>
  <si>
    <t>直島町</t>
  </si>
  <si>
    <t>色麻町</t>
  </si>
  <si>
    <t>木島平村</t>
  </si>
  <si>
    <t>屋久島町</t>
  </si>
  <si>
    <t>坂東市</t>
  </si>
  <si>
    <t>加美町</t>
  </si>
  <si>
    <t>稲敷市</t>
  </si>
  <si>
    <t>宿毛市</t>
  </si>
  <si>
    <t>大洗町</t>
  </si>
  <si>
    <t>菰野町</t>
  </si>
  <si>
    <t>女川町</t>
  </si>
  <si>
    <t>阿見町</t>
  </si>
  <si>
    <t>秋田市</t>
  </si>
  <si>
    <t>大島町</t>
  </si>
  <si>
    <t>五霞町</t>
  </si>
  <si>
    <t>那須烏山市</t>
  </si>
  <si>
    <t>横手市</t>
  </si>
  <si>
    <t>境町</t>
  </si>
  <si>
    <t>鹿沼市</t>
  </si>
  <si>
    <t>湯沢市</t>
  </si>
  <si>
    <t>日光市</t>
  </si>
  <si>
    <t>小山市</t>
  </si>
  <si>
    <t>かすみがうら市</t>
  </si>
  <si>
    <t>潟上市</t>
  </si>
  <si>
    <t>春日市</t>
  </si>
  <si>
    <t>大田原市</t>
  </si>
  <si>
    <t>大仙市</t>
  </si>
  <si>
    <t>北秋田市</t>
  </si>
  <si>
    <t>下野市</t>
  </si>
  <si>
    <t>にかほ市</t>
  </si>
  <si>
    <t>壬生町</t>
  </si>
  <si>
    <t>九度山町</t>
  </si>
  <si>
    <t>仙北市</t>
  </si>
  <si>
    <t>通所型サービス_独自_定率__19人未満_R8</t>
    <rPh sb="12" eb="13">
      <t>リツ</t>
    </rPh>
    <phoneticPr fontId="21"/>
  </si>
  <si>
    <t>小坂町</t>
  </si>
  <si>
    <t>伊勢崎市</t>
  </si>
  <si>
    <t>上小阿仁村</t>
  </si>
  <si>
    <t>太田市</t>
  </si>
  <si>
    <t>藤里町</t>
  </si>
  <si>
    <t>渋川市</t>
  </si>
  <si>
    <t>三種町</t>
  </si>
  <si>
    <t>吉岡町</t>
    <rPh sb="0" eb="3">
      <t>ヨシオカチョウ</t>
    </rPh>
    <phoneticPr fontId="95"/>
  </si>
  <si>
    <t>熊谷市</t>
  </si>
  <si>
    <t>智頭町</t>
  </si>
  <si>
    <t>知夫村</t>
  </si>
  <si>
    <t>日高市</t>
  </si>
  <si>
    <t>越生町</t>
  </si>
  <si>
    <t>東成瀬村</t>
  </si>
  <si>
    <t>滑川町</t>
  </si>
  <si>
    <t>山形市</t>
  </si>
  <si>
    <t>川島町</t>
  </si>
  <si>
    <t>鳩山町</t>
  </si>
  <si>
    <t>寄居町</t>
  </si>
  <si>
    <t>香芝市</t>
  </si>
  <si>
    <t>あさぎり町</t>
  </si>
  <si>
    <t>東金市</t>
  </si>
  <si>
    <t>伊万里市</t>
  </si>
  <si>
    <t>寒河江市</t>
  </si>
  <si>
    <t>君津市</t>
  </si>
  <si>
    <t>里庄町</t>
  </si>
  <si>
    <t>上山市</t>
  </si>
  <si>
    <t>富津市</t>
  </si>
  <si>
    <t>京丹後市</t>
  </si>
  <si>
    <t>村山市</t>
  </si>
  <si>
    <t>長井市</t>
  </si>
  <si>
    <t>稲美町</t>
  </si>
  <si>
    <t>富里市</t>
    <rPh sb="0" eb="3">
      <t>トミサトシ</t>
    </rPh>
    <phoneticPr fontId="95"/>
  </si>
  <si>
    <t>武豊町</t>
  </si>
  <si>
    <t>天童市</t>
  </si>
  <si>
    <t>山武市</t>
  </si>
  <si>
    <t>山辺町</t>
  </si>
  <si>
    <t>琴平町</t>
  </si>
  <si>
    <t>南足柄市</t>
    <rPh sb="0" eb="3">
      <t>ミナミアシガラ</t>
    </rPh>
    <rPh sb="3" eb="4">
      <t>シ</t>
    </rPh>
    <phoneticPr fontId="95"/>
  </si>
  <si>
    <t>山北町</t>
    <rPh sb="0" eb="3">
      <t>ヤマキタマチ</t>
    </rPh>
    <phoneticPr fontId="95"/>
  </si>
  <si>
    <t>津和野町</t>
  </si>
  <si>
    <t>河北町</t>
  </si>
  <si>
    <t>上富田町</t>
  </si>
  <si>
    <t>箱根町</t>
  </si>
  <si>
    <t>介護予防短期入所療養介護_病院等_老健以外__R8</t>
  </si>
  <si>
    <t>西川町</t>
  </si>
  <si>
    <t>朝日町</t>
  </si>
  <si>
    <t>大石田町</t>
  </si>
  <si>
    <t>内灘町</t>
  </si>
  <si>
    <t>福井市</t>
  </si>
  <si>
    <t>甲府市</t>
  </si>
  <si>
    <t>さつま町</t>
  </si>
  <si>
    <t>舟形町</t>
  </si>
  <si>
    <t>南アルプス市</t>
    <rPh sb="0" eb="1">
      <t>ミナミ</t>
    </rPh>
    <rPh sb="5" eb="6">
      <t>シ</t>
    </rPh>
    <phoneticPr fontId="95"/>
  </si>
  <si>
    <t>南部町</t>
    <rPh sb="0" eb="3">
      <t>ナンブチョウ</t>
    </rPh>
    <phoneticPr fontId="95"/>
  </si>
  <si>
    <t>小値賀町</t>
  </si>
  <si>
    <t>白山市</t>
  </si>
  <si>
    <t>松本市</t>
  </si>
  <si>
    <t>戸沢村</t>
  </si>
  <si>
    <t>塩尻市</t>
  </si>
  <si>
    <t>高畠町</t>
  </si>
  <si>
    <t>川西町</t>
  </si>
  <si>
    <t>美濃加茂市</t>
    <rPh sb="0" eb="5">
      <t>ミノカモシ</t>
    </rPh>
    <phoneticPr fontId="95"/>
  </si>
  <si>
    <t>各務原市</t>
  </si>
  <si>
    <t>豊後大野市</t>
  </si>
  <si>
    <t>久山町</t>
  </si>
  <si>
    <t>飯豊町</t>
  </si>
  <si>
    <t>可児市</t>
  </si>
  <si>
    <t>三川町</t>
  </si>
  <si>
    <t>遊佐町</t>
  </si>
  <si>
    <t>熊野町</t>
  </si>
  <si>
    <t>会津若松市</t>
  </si>
  <si>
    <t>宇佐市</t>
  </si>
  <si>
    <t>郡山市</t>
  </si>
  <si>
    <t>いわき市</t>
  </si>
  <si>
    <t>磐田市</t>
  </si>
  <si>
    <t>白河市</t>
  </si>
  <si>
    <t>北方町</t>
  </si>
  <si>
    <t>喜多方市</t>
  </si>
  <si>
    <t>匝瑳市</t>
  </si>
  <si>
    <t>相馬市</t>
  </si>
  <si>
    <t>芝山町</t>
  </si>
  <si>
    <t>紀宝町</t>
  </si>
  <si>
    <t>二本松市</t>
  </si>
  <si>
    <t>湯河原町</t>
  </si>
  <si>
    <t>袋井市</t>
  </si>
  <si>
    <t>東伊豆町</t>
  </si>
  <si>
    <t>函南町</t>
  </si>
  <si>
    <t>本宮市</t>
  </si>
  <si>
    <t>小山町</t>
  </si>
  <si>
    <t>国見町</t>
  </si>
  <si>
    <t>室戸市</t>
  </si>
  <si>
    <t>大玉村</t>
  </si>
  <si>
    <t>高梁市</t>
  </si>
  <si>
    <t>天栄村</t>
  </si>
  <si>
    <t>丹波山村</t>
  </si>
  <si>
    <t>蒲郡市</t>
  </si>
  <si>
    <t>只見町</t>
  </si>
  <si>
    <t>新城市</t>
  </si>
  <si>
    <t>東海市</t>
  </si>
  <si>
    <t>西会津町</t>
  </si>
  <si>
    <t>中種子町</t>
  </si>
  <si>
    <t>猪苗代町</t>
  </si>
  <si>
    <t>高浜市</t>
  </si>
  <si>
    <t>泰阜村</t>
  </si>
  <si>
    <t>会津坂下町</t>
  </si>
  <si>
    <t>明日香村</t>
  </si>
  <si>
    <t>田原市</t>
  </si>
  <si>
    <t>大口町</t>
  </si>
  <si>
    <t>三島町</t>
  </si>
  <si>
    <t>阿久比町</t>
  </si>
  <si>
    <t>伊那市</t>
  </si>
  <si>
    <t>東浦町</t>
  </si>
  <si>
    <t>昭和村</t>
  </si>
  <si>
    <t>木祖村</t>
  </si>
  <si>
    <t>会津美里町</t>
  </si>
  <si>
    <t>別府市</t>
  </si>
  <si>
    <t>幸田町</t>
  </si>
  <si>
    <t>西郷村</t>
  </si>
  <si>
    <t>設楽町</t>
  </si>
  <si>
    <t>秩父市</t>
  </si>
  <si>
    <t>泉崎村</t>
  </si>
  <si>
    <t>度会町</t>
  </si>
  <si>
    <t>中島村</t>
  </si>
  <si>
    <t>南阿蘇村</t>
  </si>
  <si>
    <t>矢吹町</t>
  </si>
  <si>
    <t>名張市</t>
  </si>
  <si>
    <t>塙町</t>
  </si>
  <si>
    <t>小野市</t>
  </si>
  <si>
    <t>宇和島市</t>
  </si>
  <si>
    <t>鮫川村</t>
  </si>
  <si>
    <t>東員町</t>
  </si>
  <si>
    <t>南アルプス市</t>
  </si>
  <si>
    <t>宮田村</t>
  </si>
  <si>
    <t>石川町</t>
  </si>
  <si>
    <t>狛江市</t>
  </si>
  <si>
    <t>川越町</t>
  </si>
  <si>
    <t>古殿町</t>
  </si>
  <si>
    <t>三春町</t>
  </si>
  <si>
    <t>佐用町</t>
  </si>
  <si>
    <t>野洲市</t>
  </si>
  <si>
    <t>小野町</t>
  </si>
  <si>
    <t>湖南市</t>
  </si>
  <si>
    <t>日野町</t>
    <rPh sb="0" eb="3">
      <t>ヒノマチ</t>
    </rPh>
    <phoneticPr fontId="95"/>
  </si>
  <si>
    <t>竜王町</t>
    <rPh sb="0" eb="3">
      <t>リュウオウチョウ</t>
    </rPh>
    <phoneticPr fontId="95"/>
  </si>
  <si>
    <t>大熊町</t>
  </si>
  <si>
    <t>久御山町</t>
  </si>
  <si>
    <t>姫路市</t>
  </si>
  <si>
    <t>大津町</t>
  </si>
  <si>
    <t>葛尾村</t>
  </si>
  <si>
    <t>三木市</t>
  </si>
  <si>
    <t>御前崎市</t>
  </si>
  <si>
    <t>高砂市</t>
  </si>
  <si>
    <t>鳴門市</t>
  </si>
  <si>
    <t>千曲市</t>
  </si>
  <si>
    <t>播磨町</t>
  </si>
  <si>
    <t>天理市</t>
  </si>
  <si>
    <t>東村山市</t>
  </si>
  <si>
    <t>橿原市</t>
  </si>
  <si>
    <t>桜井市</t>
  </si>
  <si>
    <t>宇陀市</t>
  </si>
  <si>
    <t>滑川市</t>
  </si>
  <si>
    <t>嘉島町</t>
  </si>
  <si>
    <t>山添村</t>
  </si>
  <si>
    <t>北茨城市</t>
  </si>
  <si>
    <t>日之影町</t>
  </si>
  <si>
    <t>安堵町</t>
  </si>
  <si>
    <t>三宅町</t>
  </si>
  <si>
    <t>田原本町</t>
  </si>
  <si>
    <t>益田市</t>
  </si>
  <si>
    <t>水上村</t>
  </si>
  <si>
    <t>潮来市</t>
  </si>
  <si>
    <t>常陸大宮市</t>
  </si>
  <si>
    <t>広陵町</t>
  </si>
  <si>
    <t>岡山市</t>
  </si>
  <si>
    <t>東広島市</t>
  </si>
  <si>
    <t>廿日市市</t>
  </si>
  <si>
    <t>江東区</t>
  </si>
  <si>
    <t>熊野町</t>
    <rPh sb="0" eb="3">
      <t>クマノチョウ</t>
    </rPh>
    <phoneticPr fontId="95"/>
  </si>
  <si>
    <t>行方市</t>
  </si>
  <si>
    <t>坂町</t>
  </si>
  <si>
    <t>徳島市</t>
  </si>
  <si>
    <t>高松市</t>
  </si>
  <si>
    <t>茨城町</t>
  </si>
  <si>
    <t>飯塚市</t>
  </si>
  <si>
    <t>東海村</t>
  </si>
  <si>
    <t>糸満市</t>
  </si>
  <si>
    <t>古賀市</t>
  </si>
  <si>
    <t>長崎市</t>
  </si>
  <si>
    <t>美浦村</t>
  </si>
  <si>
    <t>その他</t>
    <rPh sb="2" eb="3">
      <t>ホカ</t>
    </rPh>
    <phoneticPr fontId="21"/>
  </si>
  <si>
    <t>足利市</t>
  </si>
  <si>
    <t>矢板市</t>
  </si>
  <si>
    <t>那須塩原市</t>
  </si>
  <si>
    <t>茂木町</t>
  </si>
  <si>
    <t>那珂川町</t>
  </si>
  <si>
    <t>桐生市</t>
  </si>
  <si>
    <t>館林市</t>
  </si>
  <si>
    <t>三宅村</t>
  </si>
  <si>
    <t>藤岡市</t>
  </si>
  <si>
    <t>大田区</t>
  </si>
  <si>
    <t>安中市</t>
  </si>
  <si>
    <t>みどり市</t>
  </si>
  <si>
    <t>道志村</t>
  </si>
  <si>
    <t>榛東村</t>
  </si>
  <si>
    <t>通所型サービス_独自__19人未満_R8</t>
  </si>
  <si>
    <t>吉岡町</t>
  </si>
  <si>
    <t>中野市</t>
  </si>
  <si>
    <t>由良町</t>
  </si>
  <si>
    <t>新見市</t>
  </si>
  <si>
    <t>上野村</t>
  </si>
  <si>
    <t>南牧村</t>
  </si>
  <si>
    <t>長野原町</t>
  </si>
  <si>
    <t>飛騨市</t>
  </si>
  <si>
    <t>東吾妻町</t>
  </si>
  <si>
    <t>みなかみ町</t>
  </si>
  <si>
    <t>千代田町</t>
  </si>
  <si>
    <t>大泉町</t>
  </si>
  <si>
    <t>三朝町</t>
  </si>
  <si>
    <t>身延町</t>
  </si>
  <si>
    <t>邑楽町</t>
  </si>
  <si>
    <t>飯能市</t>
  </si>
  <si>
    <t>和光市</t>
  </si>
  <si>
    <t>神津島村</t>
  </si>
  <si>
    <t>嵐山町</t>
  </si>
  <si>
    <t>品川区</t>
  </si>
  <si>
    <t>小鹿野町</t>
  </si>
  <si>
    <t>東秩父村</t>
  </si>
  <si>
    <t>神川町</t>
  </si>
  <si>
    <t>上里町</t>
  </si>
  <si>
    <t>銚子市</t>
  </si>
  <si>
    <t>旭市</t>
  </si>
  <si>
    <t>勝浦市</t>
  </si>
  <si>
    <t>中野区</t>
  </si>
  <si>
    <t>鴨川市</t>
  </si>
  <si>
    <t>南房総市</t>
  </si>
  <si>
    <t>香取市</t>
  </si>
  <si>
    <t>いすみ市</t>
  </si>
  <si>
    <t>苓北町</t>
  </si>
  <si>
    <t>神崎町</t>
  </si>
  <si>
    <t>恩納村</t>
  </si>
  <si>
    <t>多古町</t>
  </si>
  <si>
    <t>東庄町</t>
  </si>
  <si>
    <t>和気町</t>
  </si>
  <si>
    <t>白子町</t>
  </si>
  <si>
    <t>山梨市</t>
  </si>
  <si>
    <t>御宿町</t>
  </si>
  <si>
    <t>千代田区</t>
  </si>
  <si>
    <t>市川三郷町</t>
  </si>
  <si>
    <t>中央区</t>
  </si>
  <si>
    <t>宮若市</t>
  </si>
  <si>
    <t>文京区</t>
  </si>
  <si>
    <t>台東区</t>
  </si>
  <si>
    <t>墨田区</t>
  </si>
  <si>
    <t>目黒区</t>
  </si>
  <si>
    <t>世田谷区</t>
  </si>
  <si>
    <t>地域密着型特定施設入居者生活介護_Ⅴ</t>
  </si>
  <si>
    <t>葛飾区</t>
  </si>
  <si>
    <t>江戸川区</t>
  </si>
  <si>
    <t>福生市</t>
  </si>
  <si>
    <t>瑞穂町</t>
  </si>
  <si>
    <t>御蔵島村</t>
  </si>
  <si>
    <t>八丈町</t>
  </si>
  <si>
    <t>中井町</t>
  </si>
  <si>
    <t>大井町</t>
  </si>
  <si>
    <t>山北町</t>
  </si>
  <si>
    <t>真鶴町</t>
  </si>
  <si>
    <t>長岡市</t>
  </si>
  <si>
    <t>新発田市</t>
  </si>
  <si>
    <t>小千谷市</t>
  </si>
  <si>
    <t>十日町市</t>
  </si>
  <si>
    <t>燕市</t>
  </si>
  <si>
    <t>糸魚川市</t>
  </si>
  <si>
    <t>妙高市</t>
  </si>
  <si>
    <t>阿賀野市</t>
  </si>
  <si>
    <t>佐渡市</t>
  </si>
  <si>
    <t>養老町</t>
  </si>
  <si>
    <t>築上町</t>
  </si>
  <si>
    <t>魚沼市</t>
  </si>
  <si>
    <t>坂井市</t>
  </si>
  <si>
    <t>胎内市</t>
  </si>
  <si>
    <t>田上町</t>
  </si>
  <si>
    <t>阿賀町</t>
  </si>
  <si>
    <t>津南町</t>
  </si>
  <si>
    <t>魚津市</t>
  </si>
  <si>
    <t>氷見市</t>
  </si>
  <si>
    <t>南風原町</t>
  </si>
  <si>
    <t>小矢部市</t>
  </si>
  <si>
    <t>南砺市</t>
  </si>
  <si>
    <t>射水市</t>
  </si>
  <si>
    <t>舟橋村</t>
  </si>
  <si>
    <t>立山町</t>
  </si>
  <si>
    <t>入善町</t>
  </si>
  <si>
    <t>小松市</t>
  </si>
  <si>
    <t>珠洲市</t>
  </si>
  <si>
    <t>野々市市</t>
  </si>
  <si>
    <t>三原市</t>
  </si>
  <si>
    <t>志賀町</t>
  </si>
  <si>
    <t>宝達志水町</t>
  </si>
  <si>
    <t>穴水町</t>
  </si>
  <si>
    <t>能登町</t>
  </si>
  <si>
    <t>勝山市</t>
  </si>
  <si>
    <t>鯖江市</t>
  </si>
  <si>
    <t>越前市</t>
  </si>
  <si>
    <t>南越前町</t>
  </si>
  <si>
    <t>越前町</t>
  </si>
  <si>
    <t>高浜町</t>
  </si>
  <si>
    <t>おおい町</t>
  </si>
  <si>
    <t>湯前町</t>
  </si>
  <si>
    <t>富士吉田市</t>
  </si>
  <si>
    <t>都留市</t>
  </si>
  <si>
    <t>大月市</t>
  </si>
  <si>
    <t>韮崎市</t>
  </si>
  <si>
    <t>飯綱町</t>
  </si>
  <si>
    <t>甲斐市</t>
  </si>
  <si>
    <t>広川町</t>
  </si>
  <si>
    <t>甲州市</t>
  </si>
  <si>
    <t>早川町</t>
  </si>
  <si>
    <t>勝央町</t>
  </si>
  <si>
    <t>西桂町</t>
  </si>
  <si>
    <t>忍野村</t>
  </si>
  <si>
    <t>山中湖村</t>
  </si>
  <si>
    <t>富士河口湖町</t>
  </si>
  <si>
    <t>小菅村</t>
  </si>
  <si>
    <t>飯田市</t>
  </si>
  <si>
    <t>瀬戸内市</t>
  </si>
  <si>
    <t>諏訪市</t>
  </si>
  <si>
    <t>吉備中央町</t>
  </si>
  <si>
    <t>小諸市</t>
  </si>
  <si>
    <t>古座川町</t>
  </si>
  <si>
    <t>駒ヶ根市</t>
  </si>
  <si>
    <t>大町市</t>
  </si>
  <si>
    <t>安曇野市</t>
  </si>
  <si>
    <t>川上村</t>
  </si>
  <si>
    <t>佐久穂町</t>
  </si>
  <si>
    <t>御代田町</t>
  </si>
  <si>
    <t>立科町</t>
  </si>
  <si>
    <t>下諏訪町</t>
  </si>
  <si>
    <t>原村</t>
  </si>
  <si>
    <t>伊豆市</t>
  </si>
  <si>
    <t>辰野町</t>
  </si>
  <si>
    <t>箕輪町</t>
  </si>
  <si>
    <t>南箕輪村</t>
  </si>
  <si>
    <t>天龍村</t>
  </si>
  <si>
    <t>高森町</t>
  </si>
  <si>
    <t>阿智村</t>
  </si>
  <si>
    <t>平谷村</t>
  </si>
  <si>
    <t>下條村</t>
  </si>
  <si>
    <t>売木村</t>
  </si>
  <si>
    <t>喬木村</t>
  </si>
  <si>
    <t>大鹿村</t>
  </si>
  <si>
    <t>上松町</t>
  </si>
  <si>
    <t>南木曽町</t>
  </si>
  <si>
    <t>木曽町</t>
  </si>
  <si>
    <t>宇城市</t>
  </si>
  <si>
    <t>麻績村</t>
  </si>
  <si>
    <t>山形村</t>
  </si>
  <si>
    <t>小谷村</t>
  </si>
  <si>
    <t>坂城町</t>
  </si>
  <si>
    <t>下北山村</t>
  </si>
  <si>
    <t>舞鶴市</t>
  </si>
  <si>
    <t>田布施町</t>
  </si>
  <si>
    <t>野沢温泉村</t>
  </si>
  <si>
    <t>郡上市</t>
  </si>
  <si>
    <t>関市</t>
  </si>
  <si>
    <t>中津川市</t>
  </si>
  <si>
    <t>佐世保市</t>
  </si>
  <si>
    <t>美濃市</t>
  </si>
  <si>
    <t>瑞浪市</t>
  </si>
  <si>
    <t>恵那市</t>
  </si>
  <si>
    <t>美濃加茂市</t>
  </si>
  <si>
    <t>山県市</t>
  </si>
  <si>
    <t>瑞穂市</t>
  </si>
  <si>
    <t>下呂市</t>
  </si>
  <si>
    <t>篠栗町</t>
  </si>
  <si>
    <t>福知山市</t>
  </si>
  <si>
    <t>関ケ原町</t>
  </si>
  <si>
    <t>安八町</t>
  </si>
  <si>
    <t>揖斐川町</t>
  </si>
  <si>
    <t>十島村</t>
  </si>
  <si>
    <t>坂祝町</t>
  </si>
  <si>
    <t>御嵩町</t>
  </si>
  <si>
    <t>白川村</t>
  </si>
  <si>
    <t>小城市</t>
  </si>
  <si>
    <t>熱海市</t>
  </si>
  <si>
    <t>米原市</t>
  </si>
  <si>
    <t>下田市</t>
  </si>
  <si>
    <t>伊豆の国市</t>
  </si>
  <si>
    <t>菊川市</t>
  </si>
  <si>
    <t>牧之原市</t>
  </si>
  <si>
    <t>河津町</t>
  </si>
  <si>
    <t>南伊豆町</t>
  </si>
  <si>
    <t>松崎町</t>
  </si>
  <si>
    <t>西伊豆町</t>
  </si>
  <si>
    <t>吉田町</t>
  </si>
  <si>
    <t>垂水市</t>
  </si>
  <si>
    <t>みよし市</t>
  </si>
  <si>
    <t>飛島村</t>
  </si>
  <si>
    <t>高野町</t>
  </si>
  <si>
    <t>鳥羽市</t>
  </si>
  <si>
    <t>鏡野町</t>
  </si>
  <si>
    <t>大紀町</t>
  </si>
  <si>
    <t>南伊勢町</t>
  </si>
  <si>
    <t>紀北町</t>
  </si>
  <si>
    <t>御浜町</t>
  </si>
  <si>
    <t>近江八幡市</t>
  </si>
  <si>
    <t>高島市</t>
  </si>
  <si>
    <t>甲良町</t>
  </si>
  <si>
    <t>宮津市</t>
  </si>
  <si>
    <t>安芸太田町</t>
  </si>
  <si>
    <t>南丹市</t>
  </si>
  <si>
    <t>笠置町</t>
  </si>
  <si>
    <t>南山城村</t>
  </si>
  <si>
    <t>伊根町</t>
  </si>
  <si>
    <t>与謝野町</t>
  </si>
  <si>
    <t>豊岡市</t>
  </si>
  <si>
    <t>西脇市</t>
  </si>
  <si>
    <t>まんのう町</t>
  </si>
  <si>
    <t>加西市</t>
  </si>
  <si>
    <t>丹波市</t>
  </si>
  <si>
    <t>宍粟市</t>
  </si>
  <si>
    <t>加東市</t>
  </si>
  <si>
    <t>多可町</t>
  </si>
  <si>
    <t>宮崎市</t>
  </si>
  <si>
    <t>福崎町</t>
  </si>
  <si>
    <t>神河町</t>
  </si>
  <si>
    <t>上郡町</t>
  </si>
  <si>
    <t>新温泉町</t>
  </si>
  <si>
    <t>高取町</t>
  </si>
  <si>
    <t>吉野町</t>
  </si>
  <si>
    <t>天川村</t>
  </si>
  <si>
    <t>海南市</t>
  </si>
  <si>
    <t>御坊市</t>
  </si>
  <si>
    <t>田辺市</t>
  </si>
  <si>
    <t>かつらぎ町</t>
  </si>
  <si>
    <t>白浜町</t>
  </si>
  <si>
    <t>松茂町</t>
  </si>
  <si>
    <t>那智勝浦町</t>
  </si>
  <si>
    <t>北山村</t>
  </si>
  <si>
    <t>地域密着型特定施設入居者生活介護_短期利用型_Ⅴ</t>
  </si>
  <si>
    <t>鳥取市</t>
  </si>
  <si>
    <t>倉吉市</t>
  </si>
  <si>
    <t>北栄町</t>
  </si>
  <si>
    <t>日吉津村</t>
  </si>
  <si>
    <t>大山町</t>
  </si>
  <si>
    <t>日南町</t>
  </si>
  <si>
    <t>江府町</t>
  </si>
  <si>
    <t>松江市</t>
  </si>
  <si>
    <t>浜田市</t>
  </si>
  <si>
    <t>出雲市</t>
  </si>
  <si>
    <t>曽於市</t>
  </si>
  <si>
    <t>安来市</t>
  </si>
  <si>
    <t>江津市</t>
  </si>
  <si>
    <t>新宮町</t>
  </si>
  <si>
    <t>飯南町</t>
  </si>
  <si>
    <t>川本町</t>
  </si>
  <si>
    <t>吉賀町</t>
  </si>
  <si>
    <t>隠岐の島町</t>
  </si>
  <si>
    <t>津山市</t>
  </si>
  <si>
    <t>井原市</t>
  </si>
  <si>
    <t>赤磐市</t>
  </si>
  <si>
    <t>矢掛町</t>
  </si>
  <si>
    <t>新庄村</t>
  </si>
  <si>
    <t>奈義町</t>
  </si>
  <si>
    <t>西粟倉村</t>
  </si>
  <si>
    <t>久米南町</t>
  </si>
  <si>
    <t>呉市</t>
  </si>
  <si>
    <t>尾道市</t>
  </si>
  <si>
    <t>三次市</t>
  </si>
  <si>
    <t>江田島市</t>
  </si>
  <si>
    <t>北広島町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</si>
  <si>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</si>
  <si>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</si>
  <si>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</si>
  <si>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</si>
  <si>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</si>
  <si>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</si>
  <si>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</si>
  <si>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</si>
  <si>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</si>
  <si>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</si>
  <si>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</si>
  <si>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</si>
  <si>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</si>
  <si>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</si>
  <si>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</si>
  <si>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小松島市</t>
  </si>
  <si>
    <t>鬼北町</t>
  </si>
  <si>
    <t>吉野川市</t>
  </si>
  <si>
    <t>美馬市</t>
  </si>
  <si>
    <t>三好市</t>
  </si>
  <si>
    <t>勝浦町</t>
  </si>
  <si>
    <t>上勝町</t>
  </si>
  <si>
    <t>佐那河内村</t>
  </si>
  <si>
    <t>石井町</t>
  </si>
  <si>
    <t>牟岐町</t>
  </si>
  <si>
    <t>美波町</t>
  </si>
  <si>
    <t>海陽町</t>
  </si>
  <si>
    <t>北島町</t>
  </si>
  <si>
    <t>藍住町</t>
  </si>
  <si>
    <t>板野町</t>
  </si>
  <si>
    <t>上板町</t>
  </si>
  <si>
    <t>つるぎ町</t>
  </si>
  <si>
    <t>遠賀町</t>
  </si>
  <si>
    <t>東みよし町</t>
  </si>
  <si>
    <t>丸亀市</t>
  </si>
  <si>
    <t>善通寺市</t>
  </si>
  <si>
    <t>観音寺市</t>
  </si>
  <si>
    <t>さぬき市</t>
  </si>
  <si>
    <t>土庄町</t>
  </si>
  <si>
    <t>小豆島町</t>
  </si>
  <si>
    <t>三木町</t>
  </si>
  <si>
    <t>宇多津町</t>
  </si>
  <si>
    <t>多度津町</t>
  </si>
  <si>
    <t>松山市</t>
  </si>
  <si>
    <t>今治市</t>
  </si>
  <si>
    <t>八幡浜市</t>
  </si>
  <si>
    <t>新居浜市</t>
  </si>
  <si>
    <t>西条市</t>
  </si>
  <si>
    <t>伊予市</t>
  </si>
  <si>
    <t>四国中央市</t>
  </si>
  <si>
    <t>東温市</t>
  </si>
  <si>
    <t>上島町</t>
  </si>
  <si>
    <t>久万高原町</t>
  </si>
  <si>
    <t>砥部町</t>
  </si>
  <si>
    <t>内子町</t>
  </si>
  <si>
    <t>伊方町</t>
  </si>
  <si>
    <t>松野町</t>
  </si>
  <si>
    <t>愛南町</t>
  </si>
  <si>
    <t>高知市</t>
  </si>
  <si>
    <t>南国市</t>
  </si>
  <si>
    <t>梼原町</t>
  </si>
  <si>
    <t>土佐清水市</t>
  </si>
  <si>
    <t>四万十市</t>
  </si>
  <si>
    <t>香南市</t>
  </si>
  <si>
    <t>香美市</t>
  </si>
  <si>
    <t>東洋町</t>
  </si>
  <si>
    <t>奈半利町</t>
  </si>
  <si>
    <t>田野町</t>
  </si>
  <si>
    <t>芸西村</t>
  </si>
  <si>
    <t>大豊町</t>
  </si>
  <si>
    <t>土佐町</t>
  </si>
  <si>
    <t>いの町</t>
  </si>
  <si>
    <t>仁淀川町</t>
  </si>
  <si>
    <t>中土佐町</t>
  </si>
  <si>
    <t>日高村</t>
  </si>
  <si>
    <t>津野町</t>
  </si>
  <si>
    <t>四万十町</t>
  </si>
  <si>
    <t>多久市</t>
  </si>
  <si>
    <t>大月町</t>
  </si>
  <si>
    <t>三原村</t>
  </si>
  <si>
    <t>大牟田市</t>
  </si>
  <si>
    <t>直方市</t>
  </si>
  <si>
    <t>田川市</t>
  </si>
  <si>
    <t>筑後市</t>
  </si>
  <si>
    <t>行橋市</t>
  </si>
  <si>
    <t>豊前市</t>
  </si>
  <si>
    <t>朝倉市</t>
  </si>
  <si>
    <t>みやま市</t>
  </si>
  <si>
    <t>福岡県</t>
    <rPh sb="0" eb="3">
      <t>フクオカケン</t>
    </rPh>
    <phoneticPr fontId="95"/>
  </si>
  <si>
    <t>那珂川市</t>
    <rPh sb="0" eb="3">
      <t>ナカガワ</t>
    </rPh>
    <rPh sb="3" eb="4">
      <t>シ</t>
    </rPh>
    <phoneticPr fontId="95"/>
  </si>
  <si>
    <t>宇美町</t>
  </si>
  <si>
    <t>小林市</t>
  </si>
  <si>
    <t>志免町</t>
  </si>
  <si>
    <t>須恵町</t>
  </si>
  <si>
    <t>芦屋町</t>
  </si>
  <si>
    <t>岡垣町</t>
  </si>
  <si>
    <t>小竹町</t>
  </si>
  <si>
    <t>鞍手町</t>
  </si>
  <si>
    <t>桂川町</t>
  </si>
  <si>
    <t>筑前町</t>
  </si>
  <si>
    <t>嘉手納町</t>
  </si>
  <si>
    <t>大木町</t>
  </si>
  <si>
    <t>上峰町</t>
  </si>
  <si>
    <t>香春町</t>
  </si>
  <si>
    <t>添田町</t>
  </si>
  <si>
    <t>糸田町</t>
  </si>
  <si>
    <t>大任町</t>
  </si>
  <si>
    <t>福智町</t>
  </si>
  <si>
    <t>苅田町</t>
  </si>
  <si>
    <t>吉富町</t>
  </si>
  <si>
    <t>上毛町</t>
  </si>
  <si>
    <t>佐賀市</t>
  </si>
  <si>
    <t>武雄市</t>
  </si>
  <si>
    <t>伊江村</t>
  </si>
  <si>
    <t>鹿島市</t>
  </si>
  <si>
    <t>嬉野市</t>
  </si>
  <si>
    <t>神埼市</t>
  </si>
  <si>
    <t>吉野ヶ里町</t>
  </si>
  <si>
    <t>みやき町</t>
  </si>
  <si>
    <t>玄海町</t>
  </si>
  <si>
    <t>江北町</t>
  </si>
  <si>
    <t>白石町</t>
  </si>
  <si>
    <t>島原市</t>
  </si>
  <si>
    <t>諫早市</t>
  </si>
  <si>
    <t>大村市</t>
  </si>
  <si>
    <t>平戸市</t>
  </si>
  <si>
    <t>松浦市</t>
  </si>
  <si>
    <t>産山村</t>
  </si>
  <si>
    <t>五島市</t>
  </si>
  <si>
    <t>西海市</t>
  </si>
  <si>
    <t>長与町</t>
  </si>
  <si>
    <t>時津町</t>
  </si>
  <si>
    <t>東彼杵町</t>
  </si>
  <si>
    <t>新上五島町</t>
  </si>
  <si>
    <t>熊本市</t>
  </si>
  <si>
    <t>人吉市</t>
  </si>
  <si>
    <t>荒尾市</t>
  </si>
  <si>
    <t>水俣市</t>
  </si>
  <si>
    <t>玉名市</t>
  </si>
  <si>
    <t>菊池市</t>
  </si>
  <si>
    <t>宇土市</t>
  </si>
  <si>
    <t>上天草市</t>
  </si>
  <si>
    <t>合志市</t>
  </si>
  <si>
    <t>玉東町</t>
  </si>
  <si>
    <t>南関町</t>
  </si>
  <si>
    <t>和水町</t>
  </si>
  <si>
    <t>西原村</t>
  </si>
  <si>
    <t>益城町</t>
  </si>
  <si>
    <t>甲佐町</t>
  </si>
  <si>
    <t>芦北町</t>
  </si>
  <si>
    <t>津奈木町</t>
  </si>
  <si>
    <t>錦町</t>
  </si>
  <si>
    <t>多良木町</t>
  </si>
  <si>
    <t>相良村</t>
  </si>
  <si>
    <t>山江村</t>
  </si>
  <si>
    <t>大分市</t>
  </si>
  <si>
    <t>中津市</t>
  </si>
  <si>
    <t>佐伯市</t>
  </si>
  <si>
    <t>津久見市</t>
  </si>
  <si>
    <t>竹田市</t>
  </si>
  <si>
    <t>杵築市</t>
  </si>
  <si>
    <t>国東市</t>
  </si>
  <si>
    <t>玖珠町</t>
  </si>
  <si>
    <t>延岡市</t>
  </si>
  <si>
    <t>日向市</t>
  </si>
  <si>
    <t>串間市</t>
  </si>
  <si>
    <t>西都市</t>
  </si>
  <si>
    <t>三股町</t>
  </si>
  <si>
    <t>高原町</t>
  </si>
  <si>
    <t>高鍋町</t>
  </si>
  <si>
    <t>新富町</t>
  </si>
  <si>
    <t>西米良村</t>
  </si>
  <si>
    <t>川南町</t>
  </si>
  <si>
    <t>門川町</t>
  </si>
  <si>
    <t>諸塚村</t>
  </si>
  <si>
    <t>五ヶ瀬町</t>
  </si>
  <si>
    <t>鹿児島市</t>
  </si>
  <si>
    <t>鹿屋市</t>
  </si>
  <si>
    <t>阿久根市</t>
  </si>
  <si>
    <t>出水市</t>
  </si>
  <si>
    <t>薩摩川内市</t>
  </si>
  <si>
    <t>霧島市</t>
  </si>
  <si>
    <t>南さつま市</t>
  </si>
  <si>
    <t>志布志市</t>
  </si>
  <si>
    <t>奄美市</t>
  </si>
  <si>
    <t>伊佐市</t>
  </si>
  <si>
    <t>三島村</t>
  </si>
  <si>
    <t>湧水町</t>
  </si>
  <si>
    <t>東串良町</t>
  </si>
  <si>
    <t>肝付町</t>
  </si>
  <si>
    <t>大和村</t>
  </si>
  <si>
    <t>宇検村</t>
  </si>
  <si>
    <t>瀬戸内町</t>
  </si>
  <si>
    <t>徳之島町</t>
  </si>
  <si>
    <t>与論町</t>
  </si>
  <si>
    <t>宜野湾市</t>
  </si>
  <si>
    <t>石垣市</t>
  </si>
  <si>
    <t>浦添市</t>
  </si>
  <si>
    <t>名護市</t>
  </si>
  <si>
    <t>沖縄市</t>
  </si>
  <si>
    <t>豊見城市</t>
  </si>
  <si>
    <t>宮古島市</t>
  </si>
  <si>
    <t>南城市</t>
  </si>
  <si>
    <t>大宜味村</t>
  </si>
  <si>
    <t>東村</t>
  </si>
  <si>
    <t>今帰仁村</t>
  </si>
  <si>
    <t>本部町</t>
  </si>
  <si>
    <t>宜野座村</t>
  </si>
  <si>
    <t>金武町</t>
  </si>
  <si>
    <t>読谷村</t>
  </si>
  <si>
    <t>北谷町</t>
  </si>
  <si>
    <t>中城村</t>
  </si>
  <si>
    <t>西原町</t>
  </si>
  <si>
    <t>与那原町</t>
  </si>
  <si>
    <t>渡嘉敷村</t>
  </si>
  <si>
    <t>粟国村</t>
  </si>
  <si>
    <t>北大東村</t>
  </si>
  <si>
    <t>伊是名村</t>
  </si>
  <si>
    <t>久米島町</t>
  </si>
  <si>
    <t>多良間村</t>
  </si>
  <si>
    <t>通所型サービス_独自_定額_19人未満_Ⅴ</t>
  </si>
  <si>
    <t>通所型サービス_独自_定率_19人未満</t>
  </si>
  <si>
    <t>通所型サービス_独自_19人以上_Ⅴ</t>
  </si>
  <si>
    <t>訪問型サービス_独自_定額_Ⅴ</t>
  </si>
  <si>
    <t>訪問型サービス_独自_定率_Ⅴ</t>
  </si>
  <si>
    <t>介護予防短期入所療養介護_介護老人保健施設_Ⅴ</t>
  </si>
  <si>
    <t>短期入所療養介護_介護医療院_R8</t>
  </si>
  <si>
    <t>短期入所療養介護_病院等_老健以外__R8</t>
  </si>
  <si>
    <t>短期入所療養介護_病院等_老健以外__Ⅴ</t>
  </si>
  <si>
    <t>通所型サービス_独自_定額__19人未満__R8</t>
  </si>
  <si>
    <t>訪問型サービス_独自_定率_R8</t>
  </si>
  <si>
    <t>通所型サービス_独自_定額__19人以上_R8</t>
  </si>
  <si>
    <t>通所型サービス_独自_定率__19人以上_R8</t>
  </si>
  <si>
    <t>通所型サービス_独自__19人以上_R8</t>
  </si>
  <si>
    <t>訪問型サービス_独自_定額_R8</t>
  </si>
</sst>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0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9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8"/>
      <color theme="1" tint="0.5"/>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sz val="11"/>
      <color rgb="FFFF0000"/>
      <name val="ＭＳ Ｐゴシック"/>
      <family val="3"/>
    </font>
    <font>
      <b/>
      <sz val="22"/>
      <color theme="1"/>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2"/>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10"/>
      <color auto="1"/>
      <name val="ＭＳ 明朝"/>
      <family val="1"/>
    </font>
    <font>
      <sz val="11"/>
      <color theme="1"/>
      <name val="ＭＳ Ｐゴシック"/>
      <family val="3"/>
      <scheme val="minor"/>
    </font>
    <font>
      <b/>
      <sz val="10.5"/>
      <color indexed="60"/>
      <name val="ＭＳ Ｐゴシック"/>
      <family val="3"/>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theme="0" tint="-0.5"/>
      </right>
      <top style="thin">
        <color theme="0" tint="-0.5"/>
      </top>
      <bottom style="thin">
        <color theme="0" tint="-0.5"/>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73">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left"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9" fillId="0" borderId="14" xfId="0" applyFont="1" applyBorder="1" applyAlignment="1" applyProtection="1">
      <alignment horizontal="center" vertical="center"/>
      <protection locked="0"/>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lignment horizontal="left" vertical="center" wrapText="1"/>
    </xf>
    <xf numFmtId="0" fontId="30" fillId="0" borderId="19" xfId="0" applyFont="1" applyBorder="1" applyAlignment="1">
      <alignment horizontal="center"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24" xfId="0" applyFont="1" applyFill="1" applyBorder="1" applyAlignment="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29" fillId="25" borderId="33" xfId="0" applyFont="1" applyFill="1" applyBorder="1" applyAlignment="1" applyProtection="1">
      <alignment horizontal="center" vertical="center" wrapText="1"/>
      <protection locked="0"/>
    </xf>
    <xf numFmtId="0" fontId="22" fillId="0" borderId="0" xfId="0" applyFont="1" applyAlignment="1">
      <alignment horizontal="left" vertical="center"/>
    </xf>
    <xf numFmtId="0" fontId="29" fillId="25" borderId="34" xfId="0" applyFont="1" applyFill="1" applyBorder="1" applyAlignment="1" applyProtection="1">
      <alignment horizontal="center" vertical="center" wrapText="1"/>
      <protection locked="0"/>
    </xf>
    <xf numFmtId="0" fontId="35" fillId="0" borderId="0" xfId="0" applyFont="1">
      <alignment vertical="center"/>
    </xf>
    <xf numFmtId="0" fontId="29" fillId="25" borderId="35" xfId="0" applyFont="1" applyFill="1" applyBorder="1" applyAlignment="1" applyProtection="1">
      <alignment horizontal="center" vertical="center" wrapText="1"/>
      <protection locked="0"/>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24" xfId="0" applyFont="1" applyFill="1" applyBorder="1" applyAlignment="1">
      <alignment horizontal="center" vertical="center" wrapText="1"/>
    </xf>
    <xf numFmtId="0" fontId="29" fillId="24" borderId="15" xfId="0" applyFont="1" applyFill="1" applyBorder="1" applyAlignment="1">
      <alignment horizontal="center" vertical="center" wrapText="1"/>
    </xf>
    <xf numFmtId="3" fontId="36" fillId="26" borderId="24"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6" xfId="0" applyNumberFormat="1" applyFont="1" applyFill="1" applyBorder="1" applyProtection="1">
      <alignment vertical="center"/>
      <protection locked="0"/>
    </xf>
    <xf numFmtId="3" fontId="36" fillId="26" borderId="37" xfId="0" applyNumberFormat="1" applyFont="1" applyFill="1" applyBorder="1" applyProtection="1">
      <alignment vertical="center"/>
      <protection locked="0"/>
    </xf>
    <xf numFmtId="38" fontId="27" fillId="25" borderId="37"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xf>
    <xf numFmtId="0" fontId="25" fillId="27" borderId="38" xfId="0" applyFont="1" applyFill="1" applyBorder="1" applyAlignment="1">
      <alignment horizontal="center" vertical="center"/>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39"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39"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46" fillId="0" borderId="0" xfId="0" applyFont="1">
      <alignment vertical="center"/>
    </xf>
    <xf numFmtId="0" fontId="44" fillId="24" borderId="40" xfId="0" applyFont="1" applyFill="1" applyBorder="1">
      <alignment vertical="center"/>
    </xf>
    <xf numFmtId="0" fontId="44" fillId="24" borderId="41" xfId="0" applyFont="1" applyFill="1" applyBorder="1">
      <alignment vertical="center"/>
    </xf>
    <xf numFmtId="0" fontId="44" fillId="24" borderId="42" xfId="0" applyFont="1" applyFill="1" applyBorder="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10" xfId="0" applyNumberFormat="1" applyFont="1" applyBorder="1" applyAlignment="1">
      <alignment horizontal="left" vertical="center" wrapText="1"/>
    </xf>
    <xf numFmtId="0" fontId="44" fillId="0" borderId="16" xfId="0" applyFont="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3" xfId="0" applyFont="1" applyFill="1" applyBorder="1" applyAlignment="1" applyProtection="1">
      <alignment horizontal="center" vertical="center" wrapText="1"/>
      <protection locked="0"/>
    </xf>
    <xf numFmtId="0" fontId="29" fillId="29" borderId="44" xfId="0" applyFont="1" applyFill="1" applyBorder="1" applyAlignment="1" applyProtection="1">
      <alignment horizontal="center" vertical="center" wrapText="1"/>
      <protection locked="0"/>
    </xf>
    <xf numFmtId="0" fontId="29" fillId="29" borderId="41" xfId="0" applyFont="1" applyFill="1" applyBorder="1" applyAlignment="1" applyProtection="1">
      <alignment horizontal="center" vertical="center" wrapText="1"/>
      <protection locked="0"/>
    </xf>
    <xf numFmtId="0" fontId="29" fillId="29" borderId="45" xfId="0" applyFont="1" applyFill="1" applyBorder="1" applyAlignment="1" applyProtection="1">
      <alignment horizontal="center" vertical="center" wrapText="1"/>
      <protection locked="0"/>
    </xf>
    <xf numFmtId="0" fontId="49"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49" fillId="24" borderId="40" xfId="0" applyFont="1" applyFill="1" applyBorder="1" applyAlignment="1">
      <alignment vertical="center" wrapText="1"/>
    </xf>
    <xf numFmtId="0" fontId="49" fillId="24" borderId="41" xfId="0" applyFont="1" applyFill="1" applyBorder="1" applyAlignment="1">
      <alignment vertical="center" wrapText="1"/>
    </xf>
    <xf numFmtId="0" fontId="49" fillId="24" borderId="41" xfId="0" applyFont="1" applyFill="1" applyBorder="1">
      <alignment vertical="center"/>
    </xf>
    <xf numFmtId="0" fontId="50" fillId="24" borderId="42" xfId="0" applyFont="1" applyFill="1" applyBorder="1">
      <alignment vertical="center"/>
    </xf>
    <xf numFmtId="0" fontId="50"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6" xfId="0" quotePrefix="1" applyFont="1" applyBorder="1">
      <alignment vertical="center"/>
    </xf>
    <xf numFmtId="0" fontId="11" fillId="0" borderId="46" xfId="0" quotePrefix="1" applyFont="1" applyBorder="1" applyAlignment="1">
      <alignment horizontal="center" vertical="center"/>
    </xf>
    <xf numFmtId="0" fontId="11" fillId="0" borderId="47" xfId="0" quotePrefix="1" applyFont="1" applyBorder="1" applyAlignment="1">
      <alignment horizontal="center" vertical="center"/>
    </xf>
    <xf numFmtId="0" fontId="0" fillId="0" borderId="48" xfId="0" applyBorder="1" applyAlignment="1">
      <alignment horizontal="center" vertical="center"/>
    </xf>
    <xf numFmtId="0" fontId="0" fillId="0" borderId="47"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30" fillId="0" borderId="49" xfId="0" applyFont="1" applyBorder="1">
      <alignment vertical="center"/>
    </xf>
    <xf numFmtId="0" fontId="42" fillId="29" borderId="50" xfId="0" applyFont="1" applyFill="1" applyBorder="1" applyAlignment="1" applyProtection="1">
      <alignment horizontal="center" vertical="center"/>
      <protection locked="0"/>
    </xf>
    <xf numFmtId="0" fontId="42" fillId="29" borderId="51" xfId="0" applyFont="1" applyFill="1" applyBorder="1" applyAlignment="1" applyProtection="1">
      <alignment horizontal="center" vertical="center"/>
      <protection locked="0"/>
    </xf>
    <xf numFmtId="0" fontId="42" fillId="29" borderId="52" xfId="0" applyFont="1" applyFill="1" applyBorder="1" applyAlignment="1" applyProtection="1">
      <alignment horizontal="center" vertical="center"/>
      <protection locked="0"/>
    </xf>
    <xf numFmtId="0" fontId="11" fillId="24" borderId="0" xfId="0" applyFont="1" applyFill="1" applyAlignment="1">
      <alignment horizontal="left" vertical="top"/>
    </xf>
    <xf numFmtId="0" fontId="44" fillId="0" borderId="23" xfId="0" applyFont="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3" xfId="0" applyFont="1" applyFill="1" applyBorder="1" applyAlignment="1">
      <alignment horizontal="left" vertical="center" wrapText="1"/>
    </xf>
    <xf numFmtId="0" fontId="44" fillId="24" borderId="53" xfId="0" applyFont="1" applyFill="1" applyBorder="1" applyAlignment="1">
      <alignment horizontal="left" vertical="center" wrapText="1"/>
    </xf>
    <xf numFmtId="0" fontId="44" fillId="24" borderId="53"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49" fillId="24" borderId="49" xfId="0" applyFont="1" applyFill="1" applyBorder="1" applyAlignment="1">
      <alignment vertical="center" wrapText="1"/>
    </xf>
    <xf numFmtId="0" fontId="49" fillId="24" borderId="0" xfId="0" applyFont="1" applyFill="1" applyAlignment="1">
      <alignment horizontal="left" vertical="center" wrapText="1"/>
    </xf>
    <xf numFmtId="0" fontId="49" fillId="24" borderId="0" xfId="0" applyFont="1" applyFill="1">
      <alignment vertical="center"/>
    </xf>
    <xf numFmtId="0" fontId="51" fillId="24" borderId="0" xfId="0" applyFont="1" applyFill="1">
      <alignment vertical="center"/>
    </xf>
    <xf numFmtId="0" fontId="41" fillId="24" borderId="54"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5" xfId="0" applyFont="1" applyBorder="1" applyAlignment="1">
      <alignment horizontal="center" vertical="center"/>
    </xf>
    <xf numFmtId="0" fontId="45" fillId="0" borderId="56" xfId="0" applyFont="1" applyBorder="1" applyAlignment="1">
      <alignment horizontal="center" vertical="center"/>
    </xf>
    <xf numFmtId="0" fontId="45" fillId="0" borderId="57" xfId="0" applyFont="1" applyBorder="1" applyAlignment="1">
      <alignment horizontal="center" vertical="center"/>
    </xf>
    <xf numFmtId="0" fontId="45" fillId="0" borderId="58" xfId="0" applyFont="1" applyBorder="1" applyAlignment="1">
      <alignment horizontal="center" vertical="center"/>
    </xf>
    <xf numFmtId="0" fontId="44" fillId="0" borderId="59" xfId="0" applyFont="1" applyBorder="1" applyAlignment="1">
      <alignment horizontal="center" vertical="center"/>
    </xf>
    <xf numFmtId="0" fontId="45" fillId="0" borderId="55" xfId="0" applyFont="1" applyBorder="1" applyAlignment="1">
      <alignment horizontal="left" vertical="center" wrapText="1"/>
    </xf>
    <xf numFmtId="0" fontId="45" fillId="0" borderId="60" xfId="0" applyFont="1" applyBorder="1" applyAlignment="1">
      <alignment horizontal="left" vertical="center" wrapText="1"/>
    </xf>
    <xf numFmtId="0" fontId="29" fillId="0" borderId="0" xfId="0" applyFont="1" applyAlignment="1">
      <alignment horizontal="left" vertical="top" wrapText="1"/>
    </xf>
    <xf numFmtId="0" fontId="30" fillId="24" borderId="49" xfId="0" applyFont="1" applyFill="1" applyBorder="1">
      <alignment vertical="center"/>
    </xf>
    <xf numFmtId="0" fontId="29" fillId="0" borderId="0" xfId="0" applyFont="1">
      <alignment vertical="center"/>
    </xf>
    <xf numFmtId="0" fontId="29" fillId="24" borderId="54" xfId="0" applyFont="1" applyFill="1" applyBorder="1">
      <alignment vertical="center"/>
    </xf>
    <xf numFmtId="49" fontId="44" fillId="28" borderId="18" xfId="0" applyNumberFormat="1" applyFont="1" applyFill="1" applyBorder="1" applyAlignment="1">
      <alignment horizontal="center" vertical="center" wrapText="1"/>
    </xf>
    <xf numFmtId="0" fontId="29" fillId="0" borderId="61" xfId="0" applyFont="1" applyBorder="1" applyAlignment="1">
      <alignment horizontal="center" vertical="center" wrapText="1"/>
    </xf>
    <xf numFmtId="0" fontId="29" fillId="0" borderId="62" xfId="0" applyFont="1" applyBorder="1" applyAlignment="1">
      <alignment horizontal="center" vertical="center" wrapText="1"/>
    </xf>
    <xf numFmtId="0" fontId="29" fillId="0" borderId="63" xfId="0" applyFont="1" applyBorder="1" applyAlignment="1">
      <alignment horizontal="center"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0" fillId="24" borderId="54" xfId="0" applyFont="1" applyFill="1" applyBorder="1">
      <alignment vertical="center"/>
    </xf>
    <xf numFmtId="0" fontId="45" fillId="0" borderId="64" xfId="0" applyFont="1" applyBorder="1" applyAlignment="1">
      <alignment horizontal="center" vertical="center"/>
    </xf>
    <xf numFmtId="0" fontId="45" fillId="0" borderId="65" xfId="0" applyFont="1" applyBorder="1" applyAlignment="1">
      <alignment horizontal="center" vertical="center"/>
    </xf>
    <xf numFmtId="0" fontId="45" fillId="0" borderId="66" xfId="0" applyFont="1" applyBorder="1" applyAlignment="1">
      <alignment horizontal="center" vertical="center"/>
    </xf>
    <xf numFmtId="0" fontId="45" fillId="0" borderId="67" xfId="0" applyFont="1" applyBorder="1" applyAlignment="1">
      <alignment horizontal="center" vertical="center"/>
    </xf>
    <xf numFmtId="0" fontId="45" fillId="0" borderId="64" xfId="0" applyFont="1" applyBorder="1" applyAlignment="1">
      <alignment horizontal="left" vertical="center" wrapText="1"/>
    </xf>
    <xf numFmtId="0" fontId="45" fillId="0" borderId="68" xfId="0" applyFont="1" applyBorder="1" applyAlignment="1">
      <alignment horizontal="left" vertical="center" wrapText="1"/>
    </xf>
    <xf numFmtId="0" fontId="29" fillId="24" borderId="49" xfId="0" applyFont="1" applyFill="1" applyBorder="1">
      <alignment vertical="center"/>
    </xf>
    <xf numFmtId="0" fontId="42" fillId="0" borderId="0" xfId="0" applyFont="1">
      <alignment vertical="center"/>
    </xf>
    <xf numFmtId="0" fontId="44" fillId="24" borderId="0" xfId="0" applyFont="1" applyFill="1" applyAlignment="1">
      <alignment vertical="top"/>
    </xf>
    <xf numFmtId="0" fontId="44" fillId="24" borderId="54" xfId="0" applyFont="1" applyFill="1" applyBorder="1" applyAlignment="1">
      <alignment vertical="top"/>
    </xf>
    <xf numFmtId="49" fontId="44" fillId="28" borderId="16" xfId="0" applyNumberFormat="1" applyFont="1" applyFill="1" applyBorder="1" applyAlignment="1">
      <alignment horizontal="center" vertical="center" wrapText="1"/>
    </xf>
    <xf numFmtId="0" fontId="44" fillId="29" borderId="43" xfId="0" applyFont="1" applyFill="1" applyBorder="1" applyAlignment="1" applyProtection="1">
      <alignment horizontal="center" vertical="center" wrapText="1"/>
      <protection locked="0"/>
    </xf>
    <xf numFmtId="0" fontId="44" fillId="29" borderId="44"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45" xfId="0" applyFont="1" applyFill="1" applyBorder="1" applyAlignment="1" applyProtection="1">
      <alignment horizontal="center" vertical="center" wrapText="1"/>
      <protection locked="0"/>
    </xf>
    <xf numFmtId="0" fontId="44" fillId="24" borderId="61" xfId="0" applyFont="1" applyFill="1" applyBorder="1" applyAlignment="1">
      <alignment horizontal="center" vertical="center" wrapText="1"/>
    </xf>
    <xf numFmtId="0" fontId="44" fillId="24" borderId="63" xfId="0" applyFont="1" applyFill="1" applyBorder="1" applyAlignment="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0" fontId="29" fillId="24" borderId="49" xfId="0" applyFont="1" applyFill="1" applyBorder="1" applyAlignment="1">
      <alignment vertical="center" wrapText="1"/>
    </xf>
    <xf numFmtId="0" fontId="44" fillId="24" borderId="54" xfId="0" applyFont="1" applyFill="1" applyBorder="1" applyAlignment="1">
      <alignment vertical="center" shrinkToFit="1"/>
    </xf>
    <xf numFmtId="49" fontId="44" fillId="28" borderId="23" xfId="0" applyNumberFormat="1" applyFont="1" applyFill="1" applyBorder="1" applyAlignment="1">
      <alignment horizontal="center" vertical="center" wrapText="1"/>
    </xf>
    <xf numFmtId="0" fontId="44" fillId="29" borderId="71"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44" fillId="29" borderId="73" xfId="0" applyFont="1" applyFill="1" applyBorder="1" applyAlignment="1" applyProtection="1">
      <alignment horizontal="center" vertical="center" wrapText="1"/>
      <protection locked="0"/>
    </xf>
    <xf numFmtId="0" fontId="44" fillId="29" borderId="74" xfId="0" applyFont="1" applyFill="1" applyBorder="1" applyAlignment="1" applyProtection="1">
      <alignment horizontal="center" vertical="center" wrapText="1"/>
      <protection locked="0"/>
    </xf>
    <xf numFmtId="0" fontId="44" fillId="29" borderId="62" xfId="0" applyFont="1" applyFill="1" applyBorder="1" applyAlignment="1" applyProtection="1">
      <alignment horizontal="center" vertical="center" wrapText="1"/>
      <protection locked="0"/>
    </xf>
    <xf numFmtId="0" fontId="44" fillId="29" borderId="75"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6"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4" fillId="29" borderId="54" xfId="0" applyFont="1" applyFill="1" applyBorder="1" applyAlignment="1" applyProtection="1">
      <alignment horizontal="left" vertical="center" shrinkToFit="1"/>
      <protection locked="0"/>
    </xf>
    <xf numFmtId="0" fontId="42" fillId="24" borderId="18" xfId="0" applyFont="1" applyFill="1" applyBorder="1" applyAlignment="1">
      <alignment horizontal="left" vertical="center" wrapText="1"/>
    </xf>
    <xf numFmtId="0" fontId="30" fillId="24" borderId="18" xfId="0" applyFont="1" applyFill="1" applyBorder="1" applyAlignment="1">
      <alignment horizontal="left" vertical="center" wrapText="1"/>
    </xf>
    <xf numFmtId="0" fontId="44" fillId="24" borderId="64"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39" xfId="0" applyFont="1" applyBorder="1" applyAlignment="1">
      <alignment horizontal="left" vertical="center"/>
    </xf>
    <xf numFmtId="0" fontId="42" fillId="0" borderId="77"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7" xfId="0" applyFont="1" applyBorder="1" applyAlignment="1">
      <alignment horizontal="left" vertical="center"/>
    </xf>
    <xf numFmtId="0" fontId="42" fillId="24" borderId="15" xfId="0" applyFont="1" applyFill="1" applyBorder="1" applyAlignment="1">
      <alignment horizontal="left" vertical="center" wrapText="1"/>
    </xf>
    <xf numFmtId="0" fontId="30"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8" xfId="0" applyFont="1" applyBorder="1" applyAlignment="1">
      <alignment horizontal="center" vertical="center"/>
    </xf>
    <xf numFmtId="0" fontId="45" fillId="0" borderId="79" xfId="0" applyFont="1" applyBorder="1" applyAlignment="1">
      <alignment horizontal="center" vertical="center"/>
    </xf>
    <xf numFmtId="0" fontId="45" fillId="0" borderId="80" xfId="0" applyFont="1" applyBorder="1" applyAlignment="1">
      <alignment horizontal="center" vertical="center"/>
    </xf>
    <xf numFmtId="0" fontId="45" fillId="0" borderId="81"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82" xfId="0" applyFont="1" applyBorder="1" applyAlignment="1">
      <alignment horizontal="left" vertical="center"/>
    </xf>
    <xf numFmtId="0" fontId="45" fillId="0" borderId="82" xfId="0" applyFont="1" applyBorder="1" applyAlignment="1">
      <alignment horizontal="left" vertical="center" wrapText="1"/>
    </xf>
    <xf numFmtId="0" fontId="44" fillId="0" borderId="59"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49" fillId="24" borderId="0" xfId="0" applyFont="1" applyFill="1" applyAlignment="1">
      <alignment horizontal="center" vertical="center" wrapText="1"/>
    </xf>
    <xf numFmtId="0" fontId="49" fillId="24" borderId="0" xfId="0" applyFont="1" applyFill="1" applyAlignment="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3" xfId="100" applyNumberFormat="1" applyFont="1" applyFill="1" applyBorder="1" applyAlignment="1" applyProtection="1">
      <alignment horizontal="right" vertical="center" shrinkToFit="1"/>
      <protection locked="0"/>
    </xf>
    <xf numFmtId="49" fontId="26" fillId="0" borderId="0" xfId="0" applyNumberFormat="1" applyFont="1" applyAlignment="1">
      <alignment horizontal="center" vertical="center" wrapText="1"/>
    </xf>
    <xf numFmtId="0" fontId="49" fillId="24" borderId="0" xfId="0" applyFont="1" applyFill="1" applyAlignment="1">
      <alignment horizontal="left" vertical="center" shrinkToFit="1"/>
    </xf>
    <xf numFmtId="0" fontId="47" fillId="24" borderId="0" xfId="0" applyFont="1" applyFill="1" applyAlignment="1">
      <alignment horizontal="center" vertical="center"/>
    </xf>
    <xf numFmtId="0" fontId="42" fillId="24" borderId="0" xfId="0" applyFont="1" applyFill="1">
      <alignment vertical="center"/>
    </xf>
    <xf numFmtId="0" fontId="50" fillId="24" borderId="54" xfId="0" applyFont="1" applyFill="1" applyBorder="1" applyAlignment="1">
      <alignment horizontal="center" vertical="center"/>
    </xf>
    <xf numFmtId="0" fontId="50"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3" xfId="100" applyFont="1" applyFill="1" applyBorder="1" applyAlignment="1" applyProtection="1">
      <alignment vertical="center" shrinkToFit="1"/>
      <protection locked="0"/>
    </xf>
    <xf numFmtId="0" fontId="49" fillId="0" borderId="0" xfId="0" applyFont="1" applyAlignment="1">
      <alignment vertical="center" shrinkToFit="1"/>
    </xf>
    <xf numFmtId="0" fontId="42" fillId="0" borderId="14" xfId="0" applyFont="1" applyBorder="1" applyAlignment="1">
      <alignment horizontal="center" vertical="center"/>
    </xf>
    <xf numFmtId="0" fontId="44" fillId="28" borderId="15" xfId="0" applyFont="1" applyFill="1" applyBorder="1" applyAlignment="1">
      <alignment horizontal="left" vertical="center"/>
    </xf>
    <xf numFmtId="0" fontId="45" fillId="0" borderId="84" xfId="0" applyFont="1" applyBorder="1">
      <alignment vertical="center"/>
    </xf>
    <xf numFmtId="0" fontId="45" fillId="0" borderId="22" xfId="0" applyFont="1" applyBorder="1">
      <alignment vertical="center"/>
    </xf>
    <xf numFmtId="0" fontId="29" fillId="24" borderId="0" xfId="0" applyFont="1" applyFill="1" applyAlignment="1">
      <alignment horizontal="left" vertical="center"/>
    </xf>
    <xf numFmtId="0" fontId="52" fillId="24" borderId="54" xfId="0" applyFont="1" applyFill="1" applyBorder="1" applyAlignment="1">
      <alignment vertical="center" shrinkToFit="1"/>
    </xf>
    <xf numFmtId="0" fontId="52" fillId="24" borderId="0" xfId="0" applyFont="1" applyFill="1" applyAlignment="1">
      <alignment vertical="center" shrinkToFit="1"/>
    </xf>
    <xf numFmtId="0" fontId="37" fillId="27" borderId="38" xfId="0" applyFont="1" applyFill="1" applyBorder="1" applyAlignment="1">
      <alignment horizontal="center" vertical="center"/>
    </xf>
    <xf numFmtId="38" fontId="30" fillId="29" borderId="38"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85" xfId="0" applyFont="1" applyBorder="1">
      <alignment vertical="center"/>
    </xf>
    <xf numFmtId="0" fontId="45" fillId="0" borderId="18" xfId="0" applyFont="1" applyBorder="1">
      <alignment vertical="center"/>
    </xf>
    <xf numFmtId="0" fontId="37" fillId="0" borderId="0" xfId="0" applyFont="1" applyAlignment="1">
      <alignment horizontal="center" vertical="center"/>
    </xf>
    <xf numFmtId="0" fontId="45" fillId="24" borderId="19" xfId="0" applyFont="1" applyFill="1" applyBorder="1">
      <alignment vertical="center"/>
    </xf>
    <xf numFmtId="0" fontId="37" fillId="27" borderId="86" xfId="0" applyFont="1" applyFill="1" applyBorder="1" applyAlignment="1">
      <alignment horizontal="center" vertical="center"/>
    </xf>
    <xf numFmtId="0" fontId="28" fillId="24" borderId="83" xfId="0" applyFont="1" applyFill="1" applyBorder="1" applyAlignment="1">
      <alignment horizontal="center" vertical="center"/>
    </xf>
    <xf numFmtId="0" fontId="11" fillId="24" borderId="41" xfId="0" applyFont="1" applyFill="1" applyBorder="1" applyAlignment="1">
      <alignment vertical="center" wrapText="1"/>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5" fillId="24" borderId="18" xfId="0" applyFont="1" applyFill="1" applyBorder="1" applyAlignment="1">
      <alignment horizontal="left" vertical="center" wrapText="1"/>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3" xfId="0" applyFont="1" applyFill="1" applyBorder="1" applyAlignment="1">
      <alignment horizontal="center" vertical="center" wrapText="1"/>
    </xf>
    <xf numFmtId="0" fontId="53" fillId="28" borderId="83"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7" xfId="0" applyFont="1" applyFill="1" applyBorder="1" applyAlignment="1">
      <alignment horizontal="center" vertical="center" wrapText="1"/>
    </xf>
    <xf numFmtId="0" fontId="53" fillId="28" borderId="87" xfId="0" applyFont="1" applyFill="1" applyBorder="1" applyAlignment="1">
      <alignment horizontal="center" vertical="center" wrapText="1"/>
    </xf>
    <xf numFmtId="0" fontId="44" fillId="24" borderId="62" xfId="0" applyFont="1" applyFill="1" applyBorder="1" applyAlignment="1">
      <alignment horizontal="left" vertical="center" wrapText="1"/>
    </xf>
    <xf numFmtId="0" fontId="44" fillId="28" borderId="61" xfId="0" applyFont="1" applyFill="1" applyBorder="1" applyAlignment="1">
      <alignment horizontal="center" vertical="center" wrapText="1"/>
    </xf>
    <xf numFmtId="0" fontId="49" fillId="24" borderId="0" xfId="0" applyFont="1" applyFill="1" applyAlignment="1">
      <alignment vertical="center" shrinkToFit="1"/>
    </xf>
    <xf numFmtId="0" fontId="41" fillId="24" borderId="54"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88" xfId="0" applyFont="1" applyBorder="1" applyAlignment="1">
      <alignment horizontal="left" vertical="center"/>
    </xf>
    <xf numFmtId="0" fontId="45" fillId="0" borderId="88" xfId="0" applyFont="1" applyBorder="1" applyAlignment="1">
      <alignment horizontal="left" vertical="center" wrapText="1"/>
    </xf>
    <xf numFmtId="0" fontId="44" fillId="0" borderId="89" xfId="0" applyFont="1" applyBorder="1" applyAlignment="1">
      <alignment horizontal="left" vertical="center" wrapText="1"/>
    </xf>
    <xf numFmtId="0" fontId="45" fillId="0" borderId="90" xfId="0" applyFont="1" applyBorder="1" applyAlignment="1">
      <alignment horizontal="left" vertical="center" wrapText="1"/>
    </xf>
    <xf numFmtId="0" fontId="45" fillId="0" borderId="91" xfId="0" applyFont="1" applyBorder="1" applyAlignment="1">
      <alignment horizontal="left" vertical="center" wrapText="1"/>
    </xf>
    <xf numFmtId="0" fontId="28" fillId="24" borderId="38" xfId="0" applyFont="1" applyFill="1" applyBorder="1" applyAlignment="1">
      <alignment horizontal="center" vertical="center"/>
    </xf>
    <xf numFmtId="0" fontId="42" fillId="0" borderId="50" xfId="0" applyFont="1" applyBorder="1" applyAlignment="1">
      <alignment horizontal="left" vertical="center"/>
    </xf>
    <xf numFmtId="0" fontId="42" fillId="0" borderId="92"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92" xfId="0" applyFont="1" applyBorder="1" applyAlignment="1">
      <alignment horizontal="left" vertical="center"/>
    </xf>
    <xf numFmtId="0" fontId="42" fillId="0" borderId="15" xfId="0" applyFont="1" applyBorder="1" applyAlignment="1">
      <alignment horizontal="left" vertical="center" shrinkToFit="1"/>
    </xf>
    <xf numFmtId="0" fontId="26" fillId="27" borderId="38" xfId="0" applyFont="1" applyFill="1" applyBorder="1" applyAlignment="1">
      <alignment horizontal="center" vertical="center" wrapText="1"/>
    </xf>
    <xf numFmtId="0" fontId="26" fillId="29" borderId="38" xfId="0" applyFont="1" applyFill="1" applyBorder="1" applyAlignment="1" applyProtection="1">
      <alignment horizontal="center" vertical="center" wrapText="1"/>
      <protection locked="0"/>
    </xf>
    <xf numFmtId="0" fontId="42" fillId="24" borderId="93" xfId="0" applyFont="1" applyFill="1" applyBorder="1" applyAlignment="1">
      <alignment horizontal="center" vertical="center"/>
    </xf>
    <xf numFmtId="0" fontId="42" fillId="24" borderId="62" xfId="0" applyFont="1" applyFill="1" applyBorder="1" applyAlignment="1">
      <alignment horizontal="center" vertical="center"/>
    </xf>
    <xf numFmtId="0" fontId="44" fillId="24" borderId="94" xfId="0" applyFont="1" applyFill="1" applyBorder="1">
      <alignment vertical="center"/>
    </xf>
    <xf numFmtId="0" fontId="37" fillId="27" borderId="38" xfId="0" applyFont="1" applyFill="1" applyBorder="1" applyAlignment="1">
      <alignment horizontal="center" vertical="center" wrapText="1"/>
    </xf>
    <xf numFmtId="0" fontId="37" fillId="29" borderId="95" xfId="0" applyFont="1" applyFill="1" applyBorder="1" applyAlignment="1" applyProtection="1">
      <alignment horizontal="center" vertical="center" wrapText="1"/>
      <protection locked="0"/>
    </xf>
    <xf numFmtId="0" fontId="26" fillId="27" borderId="38" xfId="0" applyFont="1" applyFill="1" applyBorder="1" applyAlignment="1">
      <alignment horizontal="center" vertical="center"/>
    </xf>
    <xf numFmtId="0" fontId="26" fillId="24" borderId="0" xfId="0" applyFont="1" applyFill="1" applyAlignment="1">
      <alignment horizontal="center" vertical="center"/>
    </xf>
    <xf numFmtId="0" fontId="46" fillId="28" borderId="96" xfId="0" applyFont="1" applyFill="1" applyBorder="1" applyAlignment="1">
      <alignment horizontal="center" vertical="center" wrapText="1"/>
    </xf>
    <xf numFmtId="0" fontId="53" fillId="28" borderId="96"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44" fillId="24" borderId="90" xfId="0" applyFont="1" applyFill="1" applyBorder="1" applyAlignment="1">
      <alignment horizontal="left" vertical="center" wrapText="1"/>
    </xf>
    <xf numFmtId="0" fontId="44" fillId="24" borderId="97"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49" fillId="24" borderId="93" xfId="0" applyFont="1" applyFill="1" applyBorder="1" applyAlignment="1">
      <alignment vertical="center" wrapText="1"/>
    </xf>
    <xf numFmtId="0" fontId="49" fillId="24" borderId="62" xfId="0" applyFont="1" applyFill="1" applyBorder="1" applyAlignment="1">
      <alignment vertical="center" wrapText="1"/>
    </xf>
    <xf numFmtId="0" fontId="49" fillId="24" borderId="62" xfId="0" applyFont="1" applyFill="1" applyBorder="1" applyAlignment="1">
      <alignment vertical="center" shrinkToFit="1"/>
    </xf>
    <xf numFmtId="0" fontId="51" fillId="24" borderId="62" xfId="0" applyFont="1" applyFill="1" applyBorder="1">
      <alignment vertical="center"/>
    </xf>
    <xf numFmtId="0" fontId="41" fillId="24" borderId="94" xfId="0" applyFont="1" applyFill="1" applyBorder="1">
      <alignment vertical="center"/>
    </xf>
    <xf numFmtId="0" fontId="30" fillId="28" borderId="18" xfId="0" applyFont="1" applyFill="1" applyBorder="1" applyAlignment="1">
      <alignment horizontal="center" vertical="center"/>
    </xf>
    <xf numFmtId="0" fontId="53"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lignment vertical="center"/>
    </xf>
    <xf numFmtId="0" fontId="54" fillId="24" borderId="0" xfId="0" applyFont="1" applyFill="1" applyAlignment="1">
      <alignment horizontal="center" vertical="center"/>
    </xf>
    <xf numFmtId="0" fontId="37" fillId="24" borderId="40" xfId="0" applyFont="1" applyFill="1" applyBorder="1" applyAlignment="1">
      <alignment horizontal="left" vertical="center" wrapText="1"/>
    </xf>
    <xf numFmtId="0" fontId="37" fillId="24" borderId="42"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0" xfId="0" applyFont="1" applyFill="1" applyAlignment="1">
      <alignment vertical="center" wrapText="1"/>
    </xf>
    <xf numFmtId="0" fontId="53" fillId="24" borderId="0" xfId="0" applyFont="1" applyFill="1" applyAlignment="1">
      <alignment vertical="center" wrapText="1"/>
    </xf>
    <xf numFmtId="0" fontId="45" fillId="24" borderId="0" xfId="0" applyFont="1" applyFill="1" applyAlignment="1">
      <alignment vertical="center" wrapText="1"/>
    </xf>
    <xf numFmtId="0" fontId="58" fillId="24" borderId="0" xfId="0" applyFont="1" applyFill="1">
      <alignment vertical="center"/>
    </xf>
    <xf numFmtId="0" fontId="37" fillId="24" borderId="83" xfId="0" applyFont="1" applyFill="1" applyBorder="1" applyAlignment="1">
      <alignment horizontal="left" vertical="center" shrinkToFit="1"/>
    </xf>
    <xf numFmtId="0" fontId="53" fillId="24" borderId="98" xfId="0" applyFont="1" applyFill="1" applyBorder="1" applyAlignment="1">
      <alignment horizontal="left" vertical="center" wrapText="1"/>
    </xf>
    <xf numFmtId="0" fontId="37" fillId="24" borderId="0" xfId="0" applyFont="1" applyFill="1" applyAlignment="1">
      <alignment horizontal="left" vertical="center" wrapText="1"/>
    </xf>
    <xf numFmtId="0" fontId="37" fillId="24" borderId="54" xfId="0" applyFont="1" applyFill="1" applyBorder="1" applyAlignment="1">
      <alignment horizontal="left" vertical="center" wrapText="1"/>
    </xf>
    <xf numFmtId="0" fontId="37" fillId="24" borderId="49" xfId="0" applyFont="1" applyFill="1" applyBorder="1" applyAlignment="1">
      <alignment horizontal="left" vertical="center" wrapText="1"/>
    </xf>
    <xf numFmtId="0" fontId="37" fillId="24" borderId="41" xfId="0" applyFont="1" applyFill="1" applyBorder="1" applyAlignment="1">
      <alignment horizontal="left" vertical="center" wrapText="1"/>
    </xf>
    <xf numFmtId="0" fontId="37" fillId="24" borderId="83" xfId="0" applyFont="1" applyFill="1" applyBorder="1" applyAlignment="1">
      <alignment horizontal="left" vertical="center" wrapText="1"/>
    </xf>
    <xf numFmtId="0" fontId="59" fillId="24" borderId="0" xfId="0" applyFont="1" applyFill="1" applyAlignment="1">
      <alignment horizontal="center" vertical="center"/>
    </xf>
    <xf numFmtId="0" fontId="37" fillId="0" borderId="0" xfId="0" applyFont="1" applyAlignment="1">
      <alignment vertical="center" wrapText="1"/>
    </xf>
    <xf numFmtId="0" fontId="37" fillId="24" borderId="83" xfId="0" applyFont="1" applyFill="1" applyBorder="1" applyAlignment="1">
      <alignment horizontal="center" vertical="center" wrapText="1"/>
    </xf>
    <xf numFmtId="0" fontId="60" fillId="24" borderId="0" xfId="0" applyFont="1" applyFill="1">
      <alignment vertical="center"/>
    </xf>
    <xf numFmtId="0" fontId="37" fillId="24" borderId="87" xfId="0" applyFont="1" applyFill="1" applyBorder="1" applyAlignment="1">
      <alignment horizontal="left" vertical="center" wrapText="1"/>
    </xf>
    <xf numFmtId="0" fontId="61" fillId="24" borderId="0" xfId="0" applyFont="1" applyFill="1">
      <alignment vertical="center"/>
    </xf>
    <xf numFmtId="0" fontId="37" fillId="24" borderId="87" xfId="0" applyFont="1" applyFill="1" applyBorder="1" applyAlignment="1">
      <alignment horizontal="center" vertical="center" wrapText="1"/>
    </xf>
    <xf numFmtId="0" fontId="53" fillId="24" borderId="0" xfId="0" applyFont="1" applyFill="1">
      <alignment vertical="center"/>
    </xf>
    <xf numFmtId="0" fontId="22" fillId="24" borderId="0" xfId="0" applyFont="1" applyFill="1" applyAlignment="1">
      <alignment vertical="top"/>
    </xf>
    <xf numFmtId="0" fontId="26" fillId="29" borderId="0" xfId="0" applyFont="1" applyFill="1" applyAlignment="1">
      <alignment horizontal="center" vertical="center"/>
    </xf>
    <xf numFmtId="0" fontId="55" fillId="0" borderId="0" xfId="0" applyFont="1">
      <alignment vertical="center"/>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63" fillId="24" borderId="0" xfId="0" applyFont="1" applyFill="1">
      <alignment vertical="center"/>
    </xf>
    <xf numFmtId="0" fontId="37" fillId="24" borderId="93" xfId="0" applyFont="1" applyFill="1" applyBorder="1" applyAlignment="1">
      <alignment horizontal="left" vertical="center" wrapText="1"/>
    </xf>
    <xf numFmtId="0" fontId="37" fillId="24" borderId="94" xfId="0" applyFont="1" applyFill="1" applyBorder="1" applyAlignment="1">
      <alignment horizontal="left" vertical="center" wrapText="1"/>
    </xf>
    <xf numFmtId="0" fontId="37" fillId="24" borderId="96" xfId="0" applyFont="1" applyFill="1" applyBorder="1" applyAlignment="1">
      <alignment horizontal="left" vertical="center" wrapText="1"/>
    </xf>
    <xf numFmtId="0" fontId="37" fillId="24" borderId="96" xfId="0" applyFont="1" applyFill="1" applyBorder="1" applyAlignment="1">
      <alignment horizontal="center" vertical="center" wrapText="1"/>
    </xf>
    <xf numFmtId="0" fontId="30" fillId="0" borderId="99" xfId="0" applyFont="1" applyBorder="1">
      <alignment vertical="center"/>
    </xf>
    <xf numFmtId="0" fontId="37" fillId="0" borderId="0" xfId="0" applyFont="1" applyAlignment="1">
      <alignment horizontal="left" vertical="center" wrapText="1"/>
    </xf>
    <xf numFmtId="0" fontId="64" fillId="0" borderId="0" xfId="0" applyFont="1">
      <alignment vertical="center"/>
    </xf>
    <xf numFmtId="0" fontId="64" fillId="0" borderId="100" xfId="0" applyFont="1" applyBorder="1" applyAlignment="1">
      <alignment horizontal="center" vertical="center" wrapText="1"/>
    </xf>
    <xf numFmtId="0" fontId="64" fillId="0" borderId="100" xfId="0" applyFont="1" applyBorder="1" applyAlignment="1">
      <alignment horizontal="center" vertical="center"/>
    </xf>
    <xf numFmtId="0" fontId="64" fillId="0" borderId="0" xfId="0" applyFont="1" applyAlignment="1">
      <alignment horizontal="center" vertical="center"/>
    </xf>
    <xf numFmtId="49" fontId="65" fillId="0" borderId="0" xfId="0" applyNumberFormat="1" applyFont="1" applyAlignment="1">
      <alignment horizontal="center" vertical="center" wrapText="1"/>
    </xf>
    <xf numFmtId="0" fontId="45" fillId="0" borderId="0" xfId="0" applyFont="1">
      <alignment vertical="center"/>
    </xf>
    <xf numFmtId="0" fontId="60" fillId="0" borderId="101" xfId="0" applyFont="1" applyBorder="1" applyAlignment="1" applyProtection="1">
      <alignment horizontal="center" vertical="center"/>
      <protection locked="0"/>
    </xf>
    <xf numFmtId="0" fontId="65" fillId="0" borderId="101" xfId="0" applyFont="1" applyBorder="1" applyAlignment="1">
      <alignment horizontal="center" vertical="center"/>
    </xf>
    <xf numFmtId="0" fontId="60" fillId="0" borderId="101" xfId="0" applyFont="1" applyBorder="1" applyAlignment="1">
      <alignment horizontal="center" vertical="center" wrapText="1"/>
    </xf>
    <xf numFmtId="0" fontId="65" fillId="0" borderId="101" xfId="0" applyFont="1" applyBorder="1" applyAlignment="1">
      <alignment horizontal="center" vertical="center" wrapText="1"/>
    </xf>
    <xf numFmtId="0" fontId="39" fillId="0" borderId="101" xfId="0" applyFont="1" applyBorder="1" applyAlignment="1">
      <alignment horizontal="center" vertical="center"/>
    </xf>
    <xf numFmtId="0" fontId="39" fillId="0" borderId="102" xfId="0" applyFont="1" applyBorder="1" applyAlignment="1">
      <alignment horizontal="center" vertical="center"/>
    </xf>
    <xf numFmtId="0" fontId="39" fillId="0" borderId="103" xfId="0" applyFont="1" applyBorder="1" applyAlignment="1">
      <alignment horizontal="center" vertical="center"/>
    </xf>
    <xf numFmtId="0" fontId="39" fillId="0" borderId="104" xfId="0" applyFont="1" applyBorder="1" applyAlignment="1">
      <alignment horizontal="center" vertical="center"/>
    </xf>
    <xf numFmtId="0" fontId="66" fillId="0" borderId="0" xfId="0" applyFont="1" applyAlignment="1">
      <alignment horizontal="center" vertical="center"/>
    </xf>
    <xf numFmtId="0" fontId="30" fillId="0" borderId="105" xfId="0" applyFont="1" applyBorder="1">
      <alignment vertical="center"/>
    </xf>
    <xf numFmtId="0" fontId="60" fillId="0" borderId="0" xfId="0" applyFont="1" applyAlignment="1" applyProtection="1">
      <alignment horizontal="center" vertical="center"/>
      <protection locked="0"/>
    </xf>
    <xf numFmtId="0" fontId="39" fillId="0" borderId="0" xfId="0" applyFont="1" applyAlignment="1">
      <alignment horizontal="center" vertical="center"/>
    </xf>
    <xf numFmtId="0" fontId="30" fillId="0" borderId="106" xfId="0" applyFont="1" applyBorder="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7" fillId="0" borderId="0" xfId="0" applyFont="1">
      <alignment vertical="center"/>
    </xf>
    <xf numFmtId="0" fontId="68" fillId="0" borderId="0" xfId="0" applyFont="1">
      <alignment vertical="center"/>
    </xf>
    <xf numFmtId="0" fontId="67" fillId="0" borderId="0" xfId="0" applyFont="1" applyAlignment="1">
      <alignment vertical="center" wrapText="1"/>
    </xf>
    <xf numFmtId="0" fontId="0" fillId="0" borderId="0" xfId="0" applyProtection="1">
      <alignment vertical="center"/>
    </xf>
    <xf numFmtId="0" fontId="0" fillId="24" borderId="0" xfId="0" applyFill="1" applyProtection="1">
      <alignment vertical="center"/>
    </xf>
    <xf numFmtId="0" fontId="35" fillId="0" borderId="0" xfId="0" applyFont="1" applyProtection="1">
      <alignment vertical="center"/>
    </xf>
    <xf numFmtId="0" fontId="69" fillId="24" borderId="0" xfId="0" applyFont="1" applyFill="1">
      <alignment vertical="center"/>
    </xf>
    <xf numFmtId="0" fontId="68"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23" xfId="0" applyFill="1" applyBorder="1" applyAlignment="1">
      <alignment horizontal="left" vertical="top" wrapText="1"/>
    </xf>
    <xf numFmtId="0" fontId="27" fillId="24" borderId="107" xfId="0" applyFont="1" applyFill="1" applyBorder="1" applyAlignment="1">
      <alignment horizontal="center" vertical="center" textRotation="255" wrapText="1"/>
    </xf>
    <xf numFmtId="0" fontId="27" fillId="24" borderId="108" xfId="0" applyFont="1" applyFill="1" applyBorder="1" applyAlignment="1">
      <alignment horizontal="center" vertical="center" textRotation="255" wrapText="1"/>
    </xf>
    <xf numFmtId="0" fontId="27" fillId="0" borderId="109" xfId="0" applyFont="1" applyBorder="1" applyAlignment="1">
      <alignment vertical="center" wrapText="1"/>
    </xf>
    <xf numFmtId="0" fontId="12" fillId="24" borderId="0" xfId="0" applyFont="1" applyFill="1" applyAlignment="1">
      <alignment vertical="center" shrinkToFit="1"/>
    </xf>
    <xf numFmtId="0" fontId="70"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22" fillId="24" borderId="14" xfId="0" applyFont="1" applyFill="1" applyBorder="1" applyAlignment="1">
      <alignment horizontal="left" vertical="center" wrapText="1"/>
    </xf>
    <xf numFmtId="0" fontId="0" fillId="24" borderId="0" xfId="0" applyFill="1" applyAlignment="1">
      <alignment vertical="center" shrinkToFit="1"/>
    </xf>
    <xf numFmtId="0" fontId="31" fillId="24" borderId="110"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109" xfId="0" applyFont="1" applyBorder="1" applyAlignment="1">
      <alignment horizontal="center" vertical="center" shrinkToFit="1"/>
    </xf>
    <xf numFmtId="0" fontId="12" fillId="0" borderId="83" xfId="0" applyFont="1" applyBorder="1" applyAlignment="1">
      <alignment horizontal="center" vertical="center" shrinkToFit="1"/>
    </xf>
    <xf numFmtId="0" fontId="31" fillId="24" borderId="14" xfId="0" applyFont="1" applyFill="1" applyBorder="1" applyAlignment="1">
      <alignment horizontal="center" vertical="center"/>
    </xf>
    <xf numFmtId="0" fontId="22" fillId="24" borderId="19" xfId="0" applyFont="1" applyFill="1" applyBorder="1" applyAlignment="1">
      <alignment horizontal="left" vertical="center" wrapText="1"/>
    </xf>
    <xf numFmtId="0" fontId="31" fillId="24" borderId="49"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34" xfId="0" applyFont="1" applyBorder="1" applyAlignment="1">
      <alignment horizontal="center" vertical="center" shrinkToFit="1"/>
    </xf>
    <xf numFmtId="0" fontId="12" fillId="0" borderId="87" xfId="0" applyFont="1" applyBorder="1" applyAlignment="1">
      <alignment horizontal="center" vertical="center" shrinkToFit="1"/>
    </xf>
    <xf numFmtId="0" fontId="31" fillId="24" borderId="83"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7" xfId="0" applyFont="1" applyFill="1" applyBorder="1" applyAlignment="1">
      <alignment horizontal="left" vertical="center"/>
    </xf>
    <xf numFmtId="0" fontId="31" fillId="24" borderId="111"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35" xfId="0" applyFont="1" applyBorder="1" applyAlignment="1">
      <alignment horizontal="center" vertical="center" shrinkToFit="1"/>
    </xf>
    <xf numFmtId="0" fontId="12" fillId="0" borderId="112" xfId="0" applyFont="1" applyBorder="1" applyAlignment="1">
      <alignment horizontal="center" vertical="center" shrinkToFit="1"/>
    </xf>
    <xf numFmtId="0" fontId="70" fillId="24" borderId="0" xfId="0" applyFont="1" applyFill="1">
      <alignment vertical="center"/>
    </xf>
    <xf numFmtId="0" fontId="27" fillId="24" borderId="0" xfId="0" applyFont="1" applyFill="1" applyAlignment="1">
      <alignment horizontal="left" vertical="center"/>
    </xf>
    <xf numFmtId="0" fontId="31" fillId="24" borderId="113"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24" xfId="0" applyFont="1" applyBorder="1" applyAlignment="1">
      <alignment vertical="center" wrapText="1"/>
    </xf>
    <xf numFmtId="0" fontId="12" fillId="0" borderId="114" xfId="0" applyFont="1" applyBorder="1" applyAlignment="1">
      <alignment vertical="center" wrapText="1"/>
    </xf>
    <xf numFmtId="0" fontId="31" fillId="24" borderId="24"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70" fillId="24" borderId="0" xfId="0" applyFont="1" applyFill="1" applyAlignment="1">
      <alignment horizontal="left" vertical="center"/>
    </xf>
    <xf numFmtId="0" fontId="0" fillId="24" borderId="0" xfId="0" applyFill="1" applyAlignment="1">
      <alignment horizontal="left" vertical="center"/>
    </xf>
    <xf numFmtId="0" fontId="31" fillId="24" borderId="96" xfId="0" applyFont="1" applyFill="1" applyBorder="1" applyAlignment="1">
      <alignment horizontal="left" vertical="center"/>
    </xf>
    <xf numFmtId="0" fontId="31" fillId="24" borderId="113"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71" fillId="24" borderId="0" xfId="0" applyFont="1" applyFill="1">
      <alignment vertical="center"/>
    </xf>
    <xf numFmtId="0" fontId="22" fillId="24" borderId="25"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31" fillId="24" borderId="110"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8" fontId="35" fillId="24" borderId="14" xfId="0" applyNumberFormat="1" applyFont="1" applyFill="1" applyBorder="1" applyAlignment="1">
      <alignment horizontal="right" vertical="center" shrinkToFit="1"/>
    </xf>
    <xf numFmtId="0" fontId="27" fillId="24" borderId="113"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3" xfId="100" applyFont="1" applyBorder="1" applyAlignment="1" applyProtection="1">
      <alignment vertical="center" wrapText="1"/>
    </xf>
    <xf numFmtId="38" fontId="35" fillId="0" borderId="114" xfId="100" applyFont="1" applyBorder="1" applyAlignment="1" applyProtection="1">
      <alignment vertical="center" wrapText="1"/>
    </xf>
    <xf numFmtId="49" fontId="70" fillId="24" borderId="0" xfId="0" applyNumberFormat="1" applyFont="1" applyFill="1">
      <alignment vertical="center"/>
    </xf>
    <xf numFmtId="49" fontId="12" fillId="24" borderId="0" xfId="0" applyNumberFormat="1" applyFont="1" applyFill="1" applyAlignment="1">
      <alignment horizontal="center" vertical="center"/>
    </xf>
    <xf numFmtId="178" fontId="35" fillId="24" borderId="18" xfId="0" applyNumberFormat="1" applyFont="1" applyFill="1" applyBorder="1" applyAlignment="1">
      <alignment horizontal="right" vertical="center" shrinkToFit="1"/>
    </xf>
    <xf numFmtId="49" fontId="0" fillId="24" borderId="0" xfId="0" applyNumberFormat="1" applyFill="1">
      <alignment vertical="center"/>
    </xf>
    <xf numFmtId="49" fontId="27" fillId="24" borderId="110" xfId="0" applyNumberFormat="1" applyFont="1" applyFill="1" applyBorder="1" applyAlignment="1">
      <alignment horizontal="center" vertical="center" wrapText="1"/>
    </xf>
    <xf numFmtId="49" fontId="27" fillId="24" borderId="20" xfId="0" applyNumberFormat="1" applyFont="1" applyFill="1" applyBorder="1" applyAlignment="1">
      <alignment horizontal="center" vertical="center" wrapText="1"/>
    </xf>
    <xf numFmtId="2" fontId="31" fillId="0" borderId="110" xfId="101" applyNumberFormat="1" applyFont="1" applyFill="1" applyBorder="1" applyAlignment="1" applyProtection="1">
      <alignment vertical="center" wrapText="1" shrinkToFit="1"/>
    </xf>
    <xf numFmtId="2" fontId="31" fillId="0" borderId="115" xfId="101" applyNumberFormat="1" applyFont="1" applyFill="1" applyBorder="1" applyAlignment="1" applyProtection="1">
      <alignment vertical="center" wrapText="1" shrinkToFi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2" fillId="0" borderId="0" xfId="0" applyFont="1" applyAlignment="1">
      <alignment horizontal="center" vertical="center" wrapText="1" shrinkToFit="1"/>
    </xf>
    <xf numFmtId="0" fontId="31" fillId="24" borderId="86" xfId="0" applyFont="1" applyFill="1" applyBorder="1" applyAlignment="1">
      <alignment horizontal="center" vertical="center" wrapText="1"/>
    </xf>
    <xf numFmtId="0" fontId="31" fillId="24" borderId="76" xfId="0" applyFont="1" applyFill="1" applyBorder="1" applyAlignment="1">
      <alignment horizontal="center" vertical="center" wrapText="1"/>
    </xf>
    <xf numFmtId="0" fontId="43" fillId="30" borderId="107" xfId="0" applyFont="1" applyFill="1" applyBorder="1" applyAlignment="1" applyProtection="1">
      <alignment horizontal="center" vertical="center" shrinkToFit="1"/>
      <protection locked="0"/>
    </xf>
    <xf numFmtId="0" fontId="43" fillId="30" borderId="98"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35" xfId="0" applyFont="1" applyFill="1" applyBorder="1" applyAlignment="1">
      <alignment horizontal="center" vertical="center" wrapText="1"/>
    </xf>
    <xf numFmtId="0" fontId="31" fillId="24" borderId="116" xfId="0" applyFont="1" applyFill="1" applyBorder="1" applyAlignment="1">
      <alignment horizontal="center" vertical="center"/>
    </xf>
    <xf numFmtId="181" fontId="31" fillId="24" borderId="113" xfId="101" applyNumberFormat="1" applyFont="1" applyFill="1" applyBorder="1" applyAlignment="1" applyProtection="1">
      <alignment horizontal="center" vertical="center" shrinkToFit="1"/>
    </xf>
    <xf numFmtId="181" fontId="31" fillId="24" borderId="114"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3" fillId="24" borderId="0" xfId="0" applyFont="1" applyFill="1" applyAlignment="1">
      <alignment horizontal="center" vertical="center" shrinkToFit="1"/>
    </xf>
    <xf numFmtId="0" fontId="31" fillId="24" borderId="110" xfId="0" applyFont="1" applyFill="1" applyBorder="1" applyAlignment="1">
      <alignment horizontal="center" vertical="center" wrapText="1"/>
    </xf>
    <xf numFmtId="0" fontId="31" fillId="24" borderId="117" xfId="0" applyFont="1" applyFill="1" applyBorder="1" applyAlignment="1">
      <alignment horizontal="center" vertical="center"/>
    </xf>
    <xf numFmtId="0" fontId="27" fillId="24" borderId="110" xfId="0" applyFont="1" applyFill="1" applyBorder="1">
      <alignment vertical="center"/>
    </xf>
    <xf numFmtId="0" fontId="27" fillId="24" borderId="115" xfId="0" applyFont="1" applyFill="1" applyBorder="1">
      <alignment vertical="center"/>
    </xf>
    <xf numFmtId="0" fontId="74" fillId="24" borderId="0" xfId="0" applyFont="1" applyFill="1">
      <alignment vertical="center"/>
    </xf>
    <xf numFmtId="0" fontId="31" fillId="24" borderId="49" xfId="0" applyFont="1" applyFill="1" applyBorder="1" applyAlignment="1">
      <alignment horizontal="center" vertical="center"/>
    </xf>
    <xf numFmtId="0" fontId="31" fillId="24" borderId="54" xfId="0" applyFont="1" applyFill="1" applyBorder="1" applyAlignment="1">
      <alignment horizontal="center" vertical="center"/>
    </xf>
    <xf numFmtId="0" fontId="27" fillId="0" borderId="49" xfId="0" applyFont="1" applyBorder="1" applyProtection="1">
      <alignment vertical="center"/>
      <protection locked="0"/>
    </xf>
    <xf numFmtId="0" fontId="27" fillId="0" borderId="87" xfId="0" applyFont="1" applyBorder="1" applyProtection="1">
      <alignment vertical="center"/>
      <protection locked="0"/>
    </xf>
    <xf numFmtId="0" fontId="27" fillId="24" borderId="49" xfId="0" applyFont="1" applyFill="1" applyBorder="1">
      <alignment vertical="center"/>
    </xf>
    <xf numFmtId="0" fontId="27" fillId="24" borderId="87" xfId="0" applyFont="1" applyFill="1" applyBorder="1">
      <alignment vertical="center"/>
    </xf>
    <xf numFmtId="0" fontId="31" fillId="24" borderId="111" xfId="0" applyFont="1" applyFill="1" applyBorder="1" applyAlignment="1">
      <alignment horizontal="center" vertical="center"/>
    </xf>
    <xf numFmtId="0" fontId="31" fillId="24" borderId="118" xfId="0" applyFont="1" applyFill="1" applyBorder="1" applyAlignment="1">
      <alignment horizontal="center" vertical="center"/>
    </xf>
    <xf numFmtId="0" fontId="27" fillId="24" borderId="111" xfId="0" applyFont="1" applyFill="1" applyBorder="1">
      <alignment vertical="center"/>
    </xf>
    <xf numFmtId="0" fontId="27" fillId="24" borderId="112" xfId="0" applyFont="1" applyFill="1" applyBorder="1">
      <alignment vertical="center"/>
    </xf>
    <xf numFmtId="0" fontId="73" fillId="24" borderId="0" xfId="0" applyFont="1" applyFill="1">
      <alignment vertical="center"/>
    </xf>
    <xf numFmtId="0" fontId="31" fillId="24" borderId="119" xfId="0" applyFont="1" applyFill="1" applyBorder="1" applyAlignment="1">
      <alignment horizontal="center" vertical="center" wrapText="1"/>
    </xf>
    <xf numFmtId="0" fontId="31" fillId="24" borderId="120" xfId="0" applyFont="1" applyFill="1" applyBorder="1" applyAlignment="1">
      <alignment horizontal="center" vertical="center" wrapText="1"/>
    </xf>
    <xf numFmtId="178" fontId="31" fillId="24" borderId="119" xfId="0" applyNumberFormat="1" applyFont="1" applyFill="1" applyBorder="1">
      <alignment vertical="center"/>
    </xf>
    <xf numFmtId="178" fontId="31" fillId="24" borderId="121" xfId="0" applyNumberFormat="1" applyFont="1" applyFill="1" applyBorder="1">
      <alignment vertical="center"/>
    </xf>
    <xf numFmtId="0" fontId="72" fillId="27" borderId="83" xfId="0" applyFont="1" applyFill="1" applyBorder="1" applyAlignment="1">
      <alignment horizontal="center" vertical="center"/>
    </xf>
    <xf numFmtId="0" fontId="31" fillId="24" borderId="109" xfId="0" applyFont="1" applyFill="1" applyBorder="1" applyAlignment="1">
      <alignment horizontal="center" vertical="center" wrapText="1"/>
    </xf>
    <xf numFmtId="0" fontId="35" fillId="0" borderId="122" xfId="0" applyFont="1" applyBorder="1" applyAlignment="1">
      <alignment horizontal="center" vertical="center" wrapText="1"/>
    </xf>
    <xf numFmtId="178" fontId="31" fillId="24" borderId="107" xfId="0" applyNumberFormat="1" applyFont="1" applyFill="1" applyBorder="1">
      <alignment vertical="center"/>
    </xf>
    <xf numFmtId="178" fontId="31" fillId="24" borderId="98" xfId="0" applyNumberFormat="1" applyFont="1" applyFill="1" applyBorder="1">
      <alignment vertical="center"/>
    </xf>
    <xf numFmtId="0" fontId="75" fillId="24" borderId="0" xfId="0" applyFont="1" applyFill="1">
      <alignment vertical="center"/>
    </xf>
    <xf numFmtId="0" fontId="35" fillId="24" borderId="0" xfId="0" applyFont="1" applyFill="1" applyAlignment="1">
      <alignment vertical="center" wrapText="1"/>
    </xf>
    <xf numFmtId="0" fontId="72" fillId="27" borderId="96" xfId="0" applyFont="1" applyFill="1" applyBorder="1" applyAlignment="1">
      <alignment horizontal="center" vertical="center"/>
    </xf>
    <xf numFmtId="0" fontId="35" fillId="0" borderId="123" xfId="0" applyFont="1" applyBorder="1" applyAlignment="1">
      <alignment horizontal="center" vertical="center" wrapText="1"/>
    </xf>
    <xf numFmtId="178" fontId="76" fillId="0" borderId="113" xfId="0" applyNumberFormat="1" applyFont="1" applyBorder="1" applyAlignment="1" applyProtection="1">
      <alignment horizontal="center" vertical="center" shrinkToFit="1"/>
      <protection locked="0"/>
    </xf>
    <xf numFmtId="178" fontId="76" fillId="0" borderId="114" xfId="0" applyNumberFormat="1" applyFont="1" applyBorder="1" applyAlignment="1" applyProtection="1">
      <alignment horizontal="center" vertical="center" shrinkToFit="1"/>
      <protection locked="0"/>
    </xf>
    <xf numFmtId="0" fontId="75" fillId="24" borderId="0" xfId="0" applyFont="1" applyFill="1" applyAlignment="1">
      <alignment vertical="center" wrapText="1"/>
    </xf>
    <xf numFmtId="0" fontId="31" fillId="24" borderId="0" xfId="0" applyFont="1" applyFill="1" applyAlignment="1">
      <alignment horizontal="left" vertical="center" wrapText="1"/>
    </xf>
    <xf numFmtId="0" fontId="77" fillId="24" borderId="14" xfId="0" applyFont="1" applyFill="1" applyBorder="1" applyAlignment="1">
      <alignment horizontal="left" vertical="center" wrapText="1"/>
    </xf>
    <xf numFmtId="0" fontId="72" fillId="27" borderId="38" xfId="0" applyFont="1" applyFill="1" applyBorder="1" applyAlignment="1">
      <alignment horizontal="center" vertical="center" wrapText="1" shrinkToFit="1"/>
    </xf>
    <xf numFmtId="0" fontId="31" fillId="24" borderId="33" xfId="0" applyFont="1" applyFill="1" applyBorder="1" applyAlignment="1">
      <alignment horizontal="center" vertical="center" wrapText="1"/>
    </xf>
    <xf numFmtId="0" fontId="35" fillId="0" borderId="116" xfId="0" applyFont="1" applyBorder="1" applyAlignment="1">
      <alignment horizontal="center" vertical="center" wrapText="1"/>
    </xf>
    <xf numFmtId="178" fontId="76" fillId="0" borderId="113" xfId="0" applyNumberFormat="1" applyFont="1" applyBorder="1" applyAlignment="1" applyProtection="1">
      <alignment horizontal="center" vertical="center" wrapText="1" shrinkToFit="1"/>
      <protection locked="0"/>
    </xf>
    <xf numFmtId="178" fontId="76" fillId="0" borderId="114" xfId="0" applyNumberFormat="1" applyFont="1" applyBorder="1" applyAlignment="1" applyProtection="1">
      <alignment horizontal="center" vertical="center" wrapText="1" shrinkToFit="1"/>
      <protection locked="0"/>
    </xf>
    <xf numFmtId="0" fontId="78" fillId="24" borderId="0" xfId="0" applyFont="1" applyFill="1" applyAlignment="1">
      <alignment vertical="center" wrapText="1"/>
    </xf>
    <xf numFmtId="0" fontId="0" fillId="24" borderId="0" xfId="0" applyFill="1" applyAlignment="1">
      <alignment vertical="center" wrapText="1"/>
    </xf>
    <xf numFmtId="0" fontId="77" fillId="24" borderId="19" xfId="0" applyFont="1" applyFill="1" applyBorder="1" applyAlignment="1">
      <alignment horizontal="left" vertical="center" wrapText="1"/>
    </xf>
    <xf numFmtId="0" fontId="35" fillId="0" borderId="124" xfId="0" applyFont="1" applyBorder="1" applyAlignment="1">
      <alignment horizontal="center" vertical="center" wrapText="1"/>
    </xf>
    <xf numFmtId="178" fontId="76" fillId="0" borderId="113" xfId="0" applyNumberFormat="1" applyFont="1" applyBorder="1" applyAlignment="1" applyProtection="1">
      <alignment vertical="center" shrinkToFit="1"/>
      <protection locked="0"/>
    </xf>
    <xf numFmtId="178" fontId="76" fillId="0" borderId="114" xfId="0" applyNumberFormat="1" applyFont="1" applyBorder="1" applyAlignment="1" applyProtection="1">
      <alignment vertical="center" shrinkToFit="1"/>
      <protection locked="0"/>
    </xf>
    <xf numFmtId="0" fontId="35" fillId="0" borderId="117" xfId="0" applyFont="1" applyBorder="1" applyAlignment="1">
      <alignment horizontal="center" vertical="center" wrapText="1"/>
    </xf>
    <xf numFmtId="178" fontId="76" fillId="0" borderId="110" xfId="0" applyNumberFormat="1" applyFont="1" applyBorder="1" applyAlignment="1" applyProtection="1">
      <alignment horizontal="center" vertical="center" wrapText="1" shrinkToFit="1"/>
      <protection locked="0"/>
    </xf>
    <xf numFmtId="178" fontId="76" fillId="0" borderId="115" xfId="0" applyNumberFormat="1" applyFont="1" applyBorder="1" applyAlignment="1" applyProtection="1">
      <alignment horizontal="center" vertical="center" wrapText="1" shrinkToFit="1"/>
      <protection locked="0"/>
    </xf>
    <xf numFmtId="0" fontId="0" fillId="24" borderId="0" xfId="0" applyFill="1" applyAlignment="1">
      <alignment horizontal="center" vertical="center"/>
    </xf>
    <xf numFmtId="0" fontId="77" fillId="24" borderId="125" xfId="0" applyFont="1" applyFill="1" applyBorder="1" applyAlignment="1">
      <alignment horizontal="left" vertical="center" wrapText="1"/>
    </xf>
    <xf numFmtId="0" fontId="72" fillId="27" borderId="38" xfId="0" applyFont="1" applyFill="1" applyBorder="1" applyAlignment="1">
      <alignment horizontal="center" vertical="center" wrapText="1"/>
    </xf>
    <xf numFmtId="0" fontId="35" fillId="0" borderId="33" xfId="0" applyFont="1" applyBorder="1" applyAlignment="1">
      <alignment horizontal="center" vertical="center" wrapText="1"/>
    </xf>
    <xf numFmtId="0" fontId="35" fillId="24" borderId="117" xfId="0" applyFont="1" applyFill="1" applyBorder="1" applyAlignment="1">
      <alignment horizontal="center" vertical="center" wrapText="1"/>
    </xf>
    <xf numFmtId="178" fontId="79" fillId="0" borderId="119"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2" fontId="35" fillId="24" borderId="38" xfId="0" applyNumberFormat="1" applyFont="1" applyFill="1" applyBorder="1">
      <alignment vertical="center"/>
    </xf>
    <xf numFmtId="182" fontId="35" fillId="24" borderId="32" xfId="0" applyNumberFormat="1" applyFont="1" applyFill="1" applyBorder="1">
      <alignment vertical="center"/>
    </xf>
    <xf numFmtId="0" fontId="35" fillId="0" borderId="119" xfId="0" applyFont="1" applyBorder="1" applyAlignment="1">
      <alignment horizontal="center" vertical="center" wrapText="1"/>
    </xf>
    <xf numFmtId="0" fontId="35" fillId="24" borderId="126" xfId="0" applyFont="1" applyFill="1" applyBorder="1" applyAlignment="1">
      <alignment horizontal="center" vertical="center" wrapText="1"/>
    </xf>
    <xf numFmtId="178" fontId="79" fillId="0" borderId="38" xfId="0" applyNumberFormat="1" applyFont="1" applyBorder="1" applyAlignment="1" applyProtection="1">
      <alignment horizontal="center" vertical="center" wrapText="1" shrinkToFit="1"/>
      <protection locked="0"/>
    </xf>
    <xf numFmtId="178" fontId="79" fillId="0" borderId="121" xfId="0" applyNumberFormat="1" applyFont="1" applyBorder="1" applyAlignment="1" applyProtection="1">
      <alignment horizontal="center" vertical="center" wrapText="1" shrinkToFit="1"/>
      <protection locked="0"/>
    </xf>
    <xf numFmtId="0" fontId="80" fillId="0" borderId="0" xfId="0" applyFont="1" applyAlignment="1" applyProtection="1">
      <alignment horizontal="center" vertical="center" wrapText="1"/>
    </xf>
    <xf numFmtId="0" fontId="0" fillId="24" borderId="0" xfId="0" applyFill="1" applyAlignment="1" applyProtection="1">
      <alignment vertical="center" wrapText="1"/>
    </xf>
    <xf numFmtId="0" fontId="22" fillId="24" borderId="0" xfId="0" applyFont="1" applyFill="1" applyAlignment="1" applyProtection="1">
      <alignment vertical="center" wrapText="1"/>
    </xf>
    <xf numFmtId="0" fontId="71"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3"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3" xfId="0" applyBorder="1" applyAlignment="1" applyProtection="1">
      <alignment vertical="center" wrapText="1" shrinkToFit="1"/>
    </xf>
    <xf numFmtId="0" fontId="0" fillId="0" borderId="0" xfId="0" applyAlignment="1" applyProtection="1">
      <alignment vertical="center" wrapText="1"/>
    </xf>
    <xf numFmtId="0" fontId="35" fillId="0" borderId="96" xfId="0" applyFont="1" applyBorder="1" applyAlignment="1" applyProtection="1">
      <alignment horizontal="center" vertical="center" wrapText="1"/>
    </xf>
    <xf numFmtId="0" fontId="0" fillId="0" borderId="38" xfId="0" applyBorder="1" applyAlignment="1" applyProtection="1">
      <alignment vertical="center" wrapText="1" shrinkToFit="1"/>
    </xf>
    <xf numFmtId="0" fontId="22" fillId="0" borderId="0" xfId="0" applyFont="1" applyAlignment="1" applyProtection="1">
      <alignment horizontal="center" vertical="center" wrapText="1"/>
    </xf>
    <xf numFmtId="0" fontId="81" fillId="0" borderId="0" xfId="0" applyFont="1" applyAlignment="1" applyProtection="1">
      <alignment horizontal="center" vertical="center" wrapText="1"/>
    </xf>
    <xf numFmtId="0" fontId="25" fillId="0" borderId="41" xfId="0" applyFont="1" applyBorder="1" applyAlignment="1" applyProtection="1">
      <alignment horizontal="left" vertical="top" wrapText="1"/>
    </xf>
    <xf numFmtId="0" fontId="74" fillId="0" borderId="0" xfId="0" applyFont="1" applyAlignment="1" applyProtection="1">
      <alignment horizontal="left" vertical="center" wrapText="1"/>
    </xf>
    <xf numFmtId="0" fontId="39" fillId="0" borderId="101" xfId="0" applyFont="1" applyBorder="1" applyAlignment="1" applyProtection="1">
      <alignment vertical="center" wrapText="1"/>
    </xf>
    <xf numFmtId="0" fontId="39" fillId="0" borderId="101" xfId="0" applyFont="1" applyBorder="1" applyAlignment="1" applyProtection="1">
      <alignment horizontal="center" vertical="center" wrapText="1"/>
    </xf>
    <xf numFmtId="0" fontId="80" fillId="24" borderId="0" xfId="0" applyFont="1" applyFill="1" applyAlignment="1" applyProtection="1">
      <alignment horizontal="center" vertical="center" wrapText="1"/>
    </xf>
    <xf numFmtId="0" fontId="67" fillId="0" borderId="0" xfId="0" applyFont="1" applyProtection="1">
      <alignment vertical="center"/>
    </xf>
    <xf numFmtId="0" fontId="74" fillId="0" borderId="105" xfId="0" applyFont="1" applyBorder="1" applyAlignment="1" applyProtection="1">
      <alignment horizontal="left" vertical="center" wrapText="1"/>
    </xf>
    <xf numFmtId="0" fontId="71" fillId="0" borderId="0" xfId="0" applyFont="1" applyAlignment="1" applyProtection="1">
      <alignment vertical="center" wrapText="1"/>
    </xf>
    <xf numFmtId="0" fontId="39" fillId="0" borderId="101" xfId="0" applyFont="1" applyBorder="1" applyAlignment="1" applyProtection="1">
      <alignment horizontal="center" vertical="center"/>
    </xf>
    <xf numFmtId="0" fontId="39" fillId="0" borderId="0" xfId="0" applyFont="1" applyAlignment="1" applyProtection="1">
      <alignment horizontal="center" vertical="center"/>
    </xf>
    <xf numFmtId="0" fontId="67" fillId="31" borderId="0" xfId="0" applyFont="1" applyFill="1" applyAlignment="1" applyProtection="1">
      <alignment horizontal="center" vertical="center"/>
    </xf>
    <xf numFmtId="0" fontId="39" fillId="0" borderId="0" xfId="0" applyFont="1" applyProtection="1">
      <alignment vertical="center"/>
    </xf>
    <xf numFmtId="0" fontId="74"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67" fillId="24" borderId="0" xfId="0" applyFont="1" applyFill="1" applyProtection="1">
      <alignment vertical="center"/>
    </xf>
    <xf numFmtId="0" fontId="68" fillId="0" borderId="0" xfId="0" applyFont="1" applyProtection="1">
      <alignment vertical="center"/>
    </xf>
    <xf numFmtId="0" fontId="68" fillId="31" borderId="0" xfId="0" applyFont="1" applyFill="1" applyAlignment="1" applyProtection="1">
      <alignment horizontal="center" vertical="center"/>
    </xf>
    <xf numFmtId="0" fontId="68" fillId="24" borderId="0" xfId="0" applyFont="1" applyFill="1" applyProtection="1">
      <alignment vertical="center"/>
    </xf>
    <xf numFmtId="0" fontId="40" fillId="0" borderId="101" xfId="0" applyFont="1" applyBorder="1" applyAlignment="1" applyProtection="1">
      <alignment vertical="center" wrapText="1"/>
    </xf>
    <xf numFmtId="0" fontId="40" fillId="0" borderId="101" xfId="0" applyFont="1" applyBorder="1" applyAlignment="1" applyProtection="1">
      <alignment horizontal="center" vertical="center" wrapText="1"/>
    </xf>
    <xf numFmtId="0" fontId="73" fillId="0" borderId="101" xfId="0" applyFont="1" applyBorder="1" applyAlignment="1" applyProtection="1">
      <alignment horizontal="center" vertical="center" wrapText="1"/>
    </xf>
    <xf numFmtId="0" fontId="39" fillId="0" borderId="101" xfId="0" applyFont="1" applyBorder="1" applyProtection="1">
      <alignment vertical="center"/>
    </xf>
    <xf numFmtId="0" fontId="67" fillId="0" borderId="0" xfId="0" applyFont="1" applyAlignment="1" applyProtection="1">
      <alignment vertical="center" wrapText="1"/>
    </xf>
    <xf numFmtId="0" fontId="40" fillId="0" borderId="0" xfId="0" applyFont="1" applyProtection="1">
      <alignment vertical="center"/>
    </xf>
    <xf numFmtId="0" fontId="40" fillId="31" borderId="0" xfId="0" applyFont="1" applyFill="1" applyAlignment="1" applyProtection="1">
      <alignment horizontal="center" vertical="center"/>
    </xf>
    <xf numFmtId="0" fontId="40" fillId="24" borderId="0" xfId="0" applyFont="1" applyFill="1" applyProtection="1">
      <alignment vertical="center"/>
    </xf>
    <xf numFmtId="0" fontId="40" fillId="0" borderId="127" xfId="0" applyFont="1" applyBorder="1" applyProtection="1">
      <alignment vertical="center"/>
    </xf>
    <xf numFmtId="0" fontId="40" fillId="0" borderId="100" xfId="0" applyFont="1" applyBorder="1" applyProtection="1">
      <alignment vertical="center"/>
    </xf>
    <xf numFmtId="0" fontId="67" fillId="24" borderId="0" xfId="0" applyFont="1" applyFill="1" applyAlignment="1" applyProtection="1">
      <alignment vertical="center" wrapText="1"/>
    </xf>
    <xf numFmtId="183" fontId="0" fillId="0" borderId="0" xfId="0" applyNumberFormat="1" applyProtection="1">
      <alignment vertical="center"/>
    </xf>
    <xf numFmtId="0" fontId="82" fillId="0" borderId="0" xfId="0" applyFont="1" applyAlignment="1" applyProtection="1">
      <alignment horizontal="center"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ill="1" applyBorder="1" applyAlignment="1">
      <alignment horizontal="left" vertical="center"/>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ill="1" applyBorder="1" applyAlignment="1">
      <alignment horizontal="center" vertical="center"/>
    </xf>
    <xf numFmtId="178" fontId="35" fillId="24" borderId="15" xfId="0" applyNumberFormat="1" applyFont="1" applyFill="1" applyBorder="1" applyAlignment="1">
      <alignment vertical="center" shrinkToFit="1"/>
    </xf>
    <xf numFmtId="49" fontId="0" fillId="24" borderId="15" xfId="0" applyNumberFormat="1" applyFill="1" applyBorder="1" applyAlignment="1">
      <alignment horizontal="center" vertical="center" wrapText="1"/>
    </xf>
    <xf numFmtId="178" fontId="35" fillId="24" borderId="15" xfId="0" applyNumberFormat="1" applyFont="1" applyFill="1" applyBorder="1" applyAlignment="1">
      <alignment horizontal="right" vertical="center" shrinkToFit="1"/>
    </xf>
    <xf numFmtId="0" fontId="0" fillId="24" borderId="15" xfId="0" applyFill="1" applyBorder="1" applyAlignment="1">
      <alignment horizontal="center" vertical="center" wrapText="1"/>
    </xf>
    <xf numFmtId="178" fontId="35" fillId="24" borderId="128" xfId="0" applyNumberFormat="1" applyFont="1" applyFill="1" applyBorder="1" applyAlignment="1">
      <alignment horizontal="right" vertical="center" shrinkToFit="1"/>
    </xf>
    <xf numFmtId="0" fontId="31" fillId="24" borderId="107" xfId="0" applyFont="1" applyFill="1" applyBorder="1" applyAlignment="1">
      <alignment horizontal="center" vertical="center" wrapText="1"/>
    </xf>
    <xf numFmtId="0" fontId="31" fillId="24" borderId="129" xfId="0" applyFont="1" applyFill="1" applyBorder="1" applyAlignment="1">
      <alignment horizontal="center" vertical="center" wrapText="1"/>
    </xf>
    <xf numFmtId="0" fontId="35" fillId="24" borderId="15" xfId="0" applyFont="1" applyFill="1" applyBorder="1" applyAlignment="1">
      <alignment horizontal="center" vertical="center"/>
    </xf>
    <xf numFmtId="0" fontId="31" fillId="24" borderId="24" xfId="0" applyFont="1" applyFill="1" applyBorder="1" applyAlignment="1">
      <alignment horizontal="center" vertical="center" wrapText="1"/>
    </xf>
    <xf numFmtId="0" fontId="31" fillId="24" borderId="123" xfId="0" applyFont="1" applyFill="1" applyBorder="1" applyAlignment="1">
      <alignment horizontal="center" vertical="center"/>
    </xf>
    <xf numFmtId="0" fontId="31" fillId="0" borderId="117" xfId="0" applyFont="1" applyBorder="1" applyAlignment="1">
      <alignment horizontal="center" vertical="center" wrapText="1"/>
    </xf>
    <xf numFmtId="178" fontId="27" fillId="0" borderId="110" xfId="0" applyNumberFormat="1" applyFont="1" applyBorder="1" applyAlignment="1" applyProtection="1">
      <alignment horizontal="center" vertical="center" wrapText="1" shrinkToFit="1"/>
      <protection locked="0"/>
    </xf>
    <xf numFmtId="178" fontId="27" fillId="0" borderId="115" xfId="0" applyNumberFormat="1" applyFont="1" applyBorder="1" applyAlignment="1" applyProtection="1">
      <alignment horizontal="center" vertical="center" wrapText="1" shrinkToFit="1"/>
      <protection locked="0"/>
    </xf>
    <xf numFmtId="0" fontId="39" fillId="0" borderId="102" xfId="0" applyFont="1" applyBorder="1" applyAlignment="1" applyProtection="1">
      <alignment horizontal="center" vertical="center" wrapText="1"/>
    </xf>
    <xf numFmtId="0" fontId="39" fillId="0" borderId="130" xfId="0" applyFont="1" applyBorder="1" applyAlignment="1" applyProtection="1">
      <alignment vertical="center" wrapText="1"/>
    </xf>
    <xf numFmtId="0" fontId="39" fillId="0" borderId="130" xfId="0" applyFont="1" applyBorder="1" applyAlignment="1" applyProtection="1">
      <alignment horizontal="center" vertical="center"/>
    </xf>
    <xf numFmtId="0" fontId="39" fillId="0" borderId="131" xfId="0" applyFont="1" applyBorder="1" applyAlignment="1" applyProtection="1">
      <alignment vertical="center" wrapText="1"/>
    </xf>
    <xf numFmtId="0" fontId="73" fillId="0" borderId="131" xfId="0" applyFont="1" applyBorder="1" applyAlignment="1" applyProtection="1">
      <alignment horizontal="center" vertical="center" wrapText="1"/>
    </xf>
    <xf numFmtId="0" fontId="39" fillId="0" borderId="131" xfId="0" applyFont="1" applyBorder="1" applyAlignment="1" applyProtection="1">
      <alignment horizontal="center" vertical="center" wrapText="1"/>
    </xf>
    <xf numFmtId="0" fontId="39" fillId="0" borderId="100" xfId="0" applyFont="1" applyBorder="1" applyAlignment="1" applyProtection="1">
      <alignment vertical="center" wrapText="1"/>
    </xf>
    <xf numFmtId="0" fontId="39" fillId="0" borderId="100" xfId="0" applyFont="1" applyBorder="1" applyProtection="1">
      <alignment vertical="center"/>
    </xf>
    <xf numFmtId="0" fontId="40" fillId="0" borderId="0" xfId="0" applyFont="1" applyBorder="1" applyAlignment="1" applyProtection="1">
      <alignment vertical="center" wrapText="1"/>
    </xf>
    <xf numFmtId="0" fontId="40" fillId="0" borderId="0" xfId="0" applyFont="1" applyBorder="1" applyProtection="1">
      <alignment vertical="center"/>
    </xf>
    <xf numFmtId="0" fontId="83" fillId="0" borderId="0" xfId="71" applyFont="1" applyProtection="1">
      <alignment vertical="center"/>
      <protection locked="0"/>
    </xf>
    <xf numFmtId="0" fontId="84" fillId="24" borderId="0" xfId="71" applyFont="1" applyFill="1" applyProtection="1">
      <alignment vertical="center"/>
      <protection locked="0"/>
    </xf>
    <xf numFmtId="0" fontId="84" fillId="0" borderId="0" xfId="71" applyFont="1" applyProtection="1">
      <alignment vertical="center"/>
      <protection locked="0"/>
    </xf>
    <xf numFmtId="0" fontId="85" fillId="24" borderId="0" xfId="71" applyFont="1" applyFill="1" applyProtection="1">
      <alignment vertical="center"/>
      <protection locked="0"/>
    </xf>
    <xf numFmtId="0" fontId="86" fillId="0" borderId="0" xfId="71" applyFont="1" applyProtection="1">
      <alignment vertical="center"/>
      <protection locked="0"/>
    </xf>
    <xf numFmtId="0" fontId="85" fillId="0" borderId="0" xfId="71" applyFont="1" applyProtection="1">
      <alignment vertical="center"/>
      <protection locked="0"/>
    </xf>
    <xf numFmtId="0" fontId="87" fillId="24" borderId="0" xfId="0" applyFont="1" applyFill="1" applyProtection="1">
      <alignment vertical="center"/>
      <protection locked="0"/>
    </xf>
    <xf numFmtId="0" fontId="0" fillId="24" borderId="0" xfId="0" applyFill="1" applyProtection="1">
      <alignment vertical="center"/>
      <protection locked="0"/>
    </xf>
    <xf numFmtId="0" fontId="88" fillId="24" borderId="0" xfId="71" applyFont="1" applyFill="1" applyProtection="1">
      <alignment vertical="center"/>
      <protection locked="0"/>
    </xf>
    <xf numFmtId="0" fontId="88" fillId="24" borderId="0" xfId="71" applyFont="1" applyFill="1" applyAlignment="1" applyProtection="1">
      <alignment vertical="top"/>
      <protection locked="0"/>
    </xf>
    <xf numFmtId="0" fontId="89" fillId="24" borderId="14" xfId="71" applyFont="1" applyFill="1" applyBorder="1" applyAlignment="1" applyProtection="1">
      <alignment horizontal="center" vertical="center"/>
      <protection locked="0"/>
    </xf>
    <xf numFmtId="0" fontId="89" fillId="24" borderId="14" xfId="71" applyFont="1" applyFill="1" applyBorder="1" applyAlignment="1" applyProtection="1">
      <alignment horizontal="center" vertical="center" wrapText="1"/>
      <protection locked="0"/>
    </xf>
    <xf numFmtId="0" fontId="83" fillId="24" borderId="0" xfId="71" applyFont="1" applyFill="1" applyProtection="1">
      <alignment vertical="center"/>
      <protection locked="0"/>
    </xf>
    <xf numFmtId="0" fontId="89" fillId="24" borderId="0" xfId="71" applyFont="1" applyFill="1" applyAlignment="1" applyProtection="1">
      <alignment horizontal="left" vertical="top" wrapText="1"/>
      <protection locked="0"/>
    </xf>
    <xf numFmtId="0" fontId="89" fillId="24" borderId="0" xfId="71" applyFont="1" applyFill="1" applyProtection="1">
      <alignment vertical="center"/>
      <protection locked="0"/>
    </xf>
    <xf numFmtId="0" fontId="89" fillId="24" borderId="14" xfId="71" applyFont="1" applyFill="1" applyBorder="1" applyAlignment="1" applyProtection="1">
      <alignment horizontal="left" vertical="center" wrapText="1"/>
      <protection locked="0"/>
    </xf>
    <xf numFmtId="0" fontId="90" fillId="0" borderId="0" xfId="71" applyFont="1" applyProtection="1">
      <alignment vertical="center"/>
      <protection locked="0"/>
    </xf>
    <xf numFmtId="0" fontId="87" fillId="24" borderId="0" xfId="0" applyFont="1" applyFill="1" applyAlignment="1" applyProtection="1">
      <alignment horizontal="left" vertical="center" wrapText="1"/>
      <protection locked="0"/>
    </xf>
    <xf numFmtId="0" fontId="85" fillId="24" borderId="14" xfId="0" applyFont="1" applyFill="1" applyBorder="1" applyAlignment="1" applyProtection="1">
      <alignment horizontal="left" vertical="center"/>
      <protection locked="0"/>
    </xf>
    <xf numFmtId="0" fontId="85" fillId="24" borderId="15" xfId="0" applyFont="1" applyFill="1" applyBorder="1" applyAlignment="1" applyProtection="1">
      <alignment horizontal="center" vertical="center"/>
      <protection locked="0"/>
    </xf>
    <xf numFmtId="0" fontId="85" fillId="24" borderId="0" xfId="0" applyFont="1" applyFill="1" applyAlignment="1" applyProtection="1">
      <alignment horizontal="center" vertical="center"/>
      <protection locked="0"/>
    </xf>
    <xf numFmtId="0" fontId="91" fillId="24" borderId="0" xfId="71" applyFont="1" applyFill="1" applyProtection="1">
      <alignment vertical="center"/>
      <protection locked="0"/>
    </xf>
    <xf numFmtId="0" fontId="89" fillId="24" borderId="18" xfId="71" applyFont="1" applyFill="1" applyBorder="1" applyAlignment="1" applyProtection="1">
      <alignment horizontal="center" vertical="center"/>
      <protection locked="0"/>
    </xf>
    <xf numFmtId="0" fontId="89" fillId="24" borderId="19" xfId="71" applyFont="1" applyFill="1" applyBorder="1" applyAlignment="1" applyProtection="1">
      <alignment horizontal="left" vertical="center" wrapText="1"/>
      <protection locked="0"/>
    </xf>
    <xf numFmtId="0" fontId="85" fillId="24" borderId="19" xfId="0" applyFont="1" applyFill="1" applyBorder="1" applyAlignment="1" applyProtection="1">
      <alignment horizontal="left" vertical="center"/>
      <protection locked="0"/>
    </xf>
    <xf numFmtId="0" fontId="85" fillId="24" borderId="14" xfId="0" applyFont="1" applyFill="1" applyBorder="1" applyAlignment="1" applyProtection="1">
      <alignment horizontal="left" vertical="center" wrapText="1"/>
      <protection locked="0"/>
    </xf>
    <xf numFmtId="0" fontId="85" fillId="24" borderId="16" xfId="0" applyFont="1" applyFill="1" applyBorder="1" applyAlignment="1" applyProtection="1">
      <alignment horizontal="center" vertical="center" wrapText="1"/>
      <protection locked="0"/>
    </xf>
    <xf numFmtId="0" fontId="85" fillId="24" borderId="17" xfId="0" applyFont="1" applyFill="1" applyBorder="1" applyAlignment="1" applyProtection="1">
      <alignment horizontal="center" vertical="center" wrapText="1"/>
      <protection locked="0"/>
    </xf>
    <xf numFmtId="0" fontId="83" fillId="24" borderId="0" xfId="71" applyFont="1" applyFill="1" applyAlignment="1" applyProtection="1">
      <alignment vertical="top"/>
      <protection locked="0"/>
    </xf>
    <xf numFmtId="0" fontId="89" fillId="24" borderId="15" xfId="71" applyFont="1" applyFill="1" applyBorder="1" applyAlignment="1" applyProtection="1">
      <alignment horizontal="center" vertical="center" shrinkToFit="1"/>
      <protection locked="0"/>
    </xf>
    <xf numFmtId="0" fontId="89" fillId="24" borderId="15" xfId="71" applyFont="1" applyFill="1" applyBorder="1" applyAlignment="1" applyProtection="1">
      <alignment vertical="center" wrapText="1"/>
      <protection locked="0"/>
    </xf>
    <xf numFmtId="0" fontId="85" fillId="24" borderId="0" xfId="0" applyFont="1" applyFill="1" applyAlignment="1" applyProtection="1">
      <alignment vertical="center" wrapText="1"/>
      <protection locked="0"/>
    </xf>
    <xf numFmtId="0" fontId="85" fillId="24" borderId="19" xfId="0" applyFont="1" applyFill="1" applyBorder="1" applyAlignment="1" applyProtection="1">
      <alignment horizontal="left" vertical="center" wrapText="1"/>
      <protection locked="0"/>
    </xf>
    <xf numFmtId="0" fontId="89" fillId="24" borderId="15" xfId="71" applyFont="1" applyFill="1" applyBorder="1" applyAlignment="1" applyProtection="1">
      <alignment horizontal="center" vertical="center" wrapText="1" shrinkToFit="1"/>
      <protection locked="0"/>
    </xf>
    <xf numFmtId="0" fontId="91" fillId="24" borderId="15" xfId="71" applyFont="1" applyFill="1" applyBorder="1" applyAlignment="1" applyProtection="1">
      <alignment vertical="center" wrapText="1"/>
      <protection locked="0"/>
    </xf>
    <xf numFmtId="0" fontId="85" fillId="24" borderId="18" xfId="0" applyFont="1" applyFill="1" applyBorder="1" applyAlignment="1" applyProtection="1">
      <alignment horizontal="left" vertical="center"/>
      <protection locked="0"/>
    </xf>
    <xf numFmtId="0" fontId="85" fillId="24" borderId="18" xfId="0" applyFont="1" applyFill="1" applyBorder="1" applyAlignment="1" applyProtection="1">
      <alignment horizontal="left" vertical="center" wrapText="1"/>
      <protection locked="0"/>
    </xf>
    <xf numFmtId="0" fontId="89" fillId="24" borderId="18" xfId="71" applyFont="1" applyFill="1" applyBorder="1" applyAlignment="1" applyProtection="1">
      <alignment horizontal="left" vertical="center" wrapText="1"/>
      <protection locked="0"/>
    </xf>
    <xf numFmtId="0" fontId="86" fillId="24" borderId="0" xfId="71" applyFont="1" applyFill="1" applyProtection="1">
      <alignment vertical="center"/>
      <protection locked="0"/>
    </xf>
    <xf numFmtId="0" fontId="92" fillId="24" borderId="0" xfId="71" applyFont="1" applyFill="1" applyProtection="1">
      <alignment vertical="center"/>
      <protection locked="0"/>
    </xf>
    <xf numFmtId="0" fontId="30" fillId="0" borderId="0" xfId="78" applyFont="1" applyAlignment="1">
      <alignment vertical="center"/>
    </xf>
    <xf numFmtId="0" fontId="45" fillId="0" borderId="40" xfId="0" applyFont="1" applyBorder="1" applyAlignment="1">
      <alignment horizontal="center" vertical="center" wrapText="1"/>
    </xf>
    <xf numFmtId="0" fontId="45" fillId="0" borderId="42" xfId="0" applyFont="1" applyBorder="1" applyAlignment="1">
      <alignment horizontal="center" vertical="center" wrapText="1"/>
    </xf>
    <xf numFmtId="0" fontId="30" fillId="0" borderId="109" xfId="0" applyFont="1" applyBorder="1" applyAlignment="1">
      <alignment horizontal="left" vertical="center" wrapText="1"/>
    </xf>
    <xf numFmtId="0" fontId="30" fillId="0" borderId="53"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2" xfId="0" applyFont="1" applyBorder="1" applyAlignment="1">
      <alignment horizontal="left" vertical="center" wrapText="1"/>
    </xf>
    <xf numFmtId="0" fontId="30" fillId="0" borderId="133" xfId="0" applyFont="1" applyBorder="1" applyAlignment="1">
      <alignment horizontal="left" vertical="center" wrapText="1"/>
    </xf>
    <xf numFmtId="0" fontId="30" fillId="0" borderId="109" xfId="0" applyFont="1" applyBorder="1">
      <alignment vertical="center"/>
    </xf>
    <xf numFmtId="0" fontId="30" fillId="0" borderId="53" xfId="0" applyFont="1" applyBorder="1">
      <alignment vertical="center"/>
    </xf>
    <xf numFmtId="0" fontId="30" fillId="0" borderId="42" xfId="0" applyFont="1" applyBorder="1">
      <alignment vertical="center"/>
    </xf>
    <xf numFmtId="0" fontId="30" fillId="0" borderId="122" xfId="0" applyFont="1" applyBorder="1" applyAlignment="1">
      <alignment horizontal="left" vertical="center" wrapText="1"/>
    </xf>
    <xf numFmtId="49" fontId="30" fillId="0" borderId="86" xfId="0" applyNumberFormat="1" applyFont="1" applyBorder="1" applyAlignment="1">
      <alignment horizontal="center" vertical="center"/>
    </xf>
    <xf numFmtId="49" fontId="30" fillId="0" borderId="76" xfId="0" applyNumberFormat="1" applyFont="1" applyBorder="1" applyAlignment="1">
      <alignment horizontal="center" vertical="center"/>
    </xf>
    <xf numFmtId="49" fontId="30" fillId="0" borderId="132" xfId="0" applyNumberFormat="1" applyFont="1" applyBorder="1">
      <alignment vertical="center"/>
    </xf>
    <xf numFmtId="49" fontId="30" fillId="0" borderId="53" xfId="0" applyNumberFormat="1" applyFont="1" applyBorder="1">
      <alignment vertical="center"/>
    </xf>
    <xf numFmtId="49" fontId="30" fillId="0" borderId="133" xfId="0" applyNumberFormat="1" applyFont="1" applyBorder="1">
      <alignment vertical="center"/>
    </xf>
    <xf numFmtId="49" fontId="30" fillId="0" borderId="109" xfId="0" applyNumberFormat="1" applyFont="1" applyBorder="1">
      <alignment vertical="center"/>
    </xf>
    <xf numFmtId="49" fontId="30" fillId="0" borderId="42" xfId="0" applyNumberFormat="1" applyFont="1" applyBorder="1">
      <alignment vertical="center"/>
    </xf>
    <xf numFmtId="0" fontId="30" fillId="0" borderId="42" xfId="0" applyFont="1" applyBorder="1" applyAlignment="1">
      <alignment horizontal="left" vertical="center" wrapText="1"/>
    </xf>
    <xf numFmtId="0" fontId="45" fillId="0" borderId="49" xfId="0" applyFont="1" applyBorder="1" applyAlignment="1">
      <alignment horizontal="center" vertical="center"/>
    </xf>
    <xf numFmtId="0" fontId="45" fillId="0" borderId="134"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5" xfId="101" applyNumberFormat="1" applyFont="1" applyBorder="1" applyAlignment="1">
      <alignment horizontal="right" vertical="center" wrapText="1"/>
    </xf>
    <xf numFmtId="181" fontId="30" fillId="0" borderId="129"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4" xfId="101" applyNumberFormat="1" applyFont="1" applyBorder="1" applyAlignment="1">
      <alignment vertical="center" wrapText="1"/>
    </xf>
    <xf numFmtId="0" fontId="45" fillId="0" borderId="123"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6"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3" xfId="101" applyNumberFormat="1" applyFont="1" applyBorder="1" applyAlignment="1">
      <alignment vertical="center" wrapText="1"/>
    </xf>
    <xf numFmtId="49" fontId="93" fillId="0" borderId="0" xfId="0" applyNumberFormat="1" applyFont="1">
      <alignment vertical="center"/>
    </xf>
    <xf numFmtId="0" fontId="45" fillId="0" borderId="93" xfId="0" applyFont="1" applyBorder="1" applyAlignment="1">
      <alignment horizontal="center" vertical="center"/>
    </xf>
    <xf numFmtId="0" fontId="45" fillId="0" borderId="40"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45" fillId="0" borderId="126" xfId="101" applyNumberFormat="1" applyFont="1" applyBorder="1" applyAlignment="1">
      <alignment horizontal="center" vertical="center" wrapText="1"/>
    </xf>
    <xf numFmtId="181" fontId="94" fillId="0" borderId="137" xfId="0" applyNumberFormat="1" applyFont="1" applyBorder="1" applyAlignment="1">
      <alignment vertical="center" wrapText="1"/>
    </xf>
    <xf numFmtId="181" fontId="94" fillId="0" borderId="125" xfId="0" applyNumberFormat="1" applyFont="1" applyBorder="1" applyAlignment="1">
      <alignment vertical="center" wrapText="1"/>
    </xf>
    <xf numFmtId="181" fontId="94" fillId="0" borderId="125" xfId="101" applyNumberFormat="1" applyFont="1" applyBorder="1" applyAlignment="1">
      <alignment vertical="center"/>
    </xf>
    <xf numFmtId="181" fontId="94" fillId="0" borderId="62" xfId="101" applyNumberFormat="1" applyFont="1" applyBorder="1" applyAlignment="1">
      <alignment vertical="center" wrapText="1"/>
    </xf>
    <xf numFmtId="181" fontId="94" fillId="0" borderId="63" xfId="0" applyNumberFormat="1" applyFont="1" applyBorder="1" applyAlignment="1">
      <alignment vertical="center" wrapText="1"/>
    </xf>
    <xf numFmtId="181" fontId="94" fillId="0" borderId="61" xfId="0" applyNumberFormat="1" applyFont="1" applyBorder="1" applyAlignment="1">
      <alignment vertical="center" wrapText="1"/>
    </xf>
    <xf numFmtId="181" fontId="30" fillId="0" borderId="126" xfId="101" applyNumberFormat="1" applyFont="1" applyBorder="1" applyAlignment="1">
      <alignment vertical="center" wrapText="1"/>
    </xf>
    <xf numFmtId="181" fontId="30" fillId="0" borderId="36" xfId="101" applyNumberFormat="1" applyFont="1" applyBorder="1" applyAlignment="1">
      <alignment vertical="center" wrapText="1"/>
    </xf>
    <xf numFmtId="181" fontId="30" fillId="0" borderId="37" xfId="101" applyNumberFormat="1" applyFont="1" applyBorder="1" applyAlignment="1">
      <alignment vertical="center" wrapText="1"/>
    </xf>
    <xf numFmtId="0" fontId="45" fillId="0" borderId="41" xfId="0" applyFont="1" applyBorder="1" applyAlignment="1">
      <alignment horizontal="center" vertical="center"/>
    </xf>
    <xf numFmtId="181" fontId="30" fillId="0" borderId="34"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10"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4" xfId="101" applyNumberFormat="1" applyFont="1" applyBorder="1" applyAlignment="1">
      <alignment vertical="center" wrapText="1"/>
    </xf>
    <xf numFmtId="181" fontId="30" fillId="0" borderId="138" xfId="101" applyNumberFormat="1" applyFont="1" applyBorder="1" applyAlignment="1">
      <alignment vertical="center" wrapText="1"/>
    </xf>
    <xf numFmtId="0" fontId="45" fillId="0" borderId="30" xfId="0" applyFont="1" applyBorder="1" applyAlignment="1">
      <alignment horizontal="center" vertical="center"/>
    </xf>
    <xf numFmtId="0" fontId="45" fillId="0" borderId="139"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9"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8" xfId="0" applyFont="1" applyBorder="1" applyAlignment="1">
      <alignment horizontal="center" vertical="center"/>
    </xf>
    <xf numFmtId="49" fontId="30" fillId="0" borderId="76" xfId="0" applyNumberFormat="1" applyFont="1" applyBorder="1">
      <alignment vertical="center"/>
    </xf>
    <xf numFmtId="0" fontId="30" fillId="0" borderId="140"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21" xfId="0" applyFont="1" applyBorder="1" applyAlignment="1">
      <alignment horizontal="center" vertical="center"/>
    </xf>
    <xf numFmtId="49" fontId="30" fillId="0" borderId="94" xfId="0" applyNumberFormat="1" applyFont="1" applyBorder="1">
      <alignment vertical="center"/>
    </xf>
    <xf numFmtId="0" fontId="30" fillId="0" borderId="63" xfId="0" applyFont="1" applyBorder="1">
      <alignment vertical="center"/>
    </xf>
    <xf numFmtId="0" fontId="30" fillId="0" borderId="125" xfId="0" applyFont="1" applyBorder="1">
      <alignment vertical="center"/>
    </xf>
    <xf numFmtId="49" fontId="30" fillId="0" borderId="125" xfId="0" applyNumberFormat="1" applyFont="1" applyBorder="1">
      <alignment vertical="center"/>
    </xf>
    <xf numFmtId="0" fontId="30" fillId="0" borderId="141" xfId="0" applyFont="1" applyBorder="1">
      <alignment vertical="center"/>
    </xf>
    <xf numFmtId="0" fontId="30" fillId="0" borderId="38" xfId="0" applyFont="1" applyBorder="1">
      <alignment vertical="center"/>
    </xf>
    <xf numFmtId="0" fontId="30" fillId="0" borderId="30" xfId="0" applyFont="1" applyBorder="1">
      <alignment vertical="center"/>
    </xf>
    <xf numFmtId="0" fontId="30" fillId="0" borderId="98" xfId="78" applyFont="1" applyBorder="1" applyAlignment="1">
      <alignment vertical="center"/>
    </xf>
    <xf numFmtId="0" fontId="30" fillId="0" borderId="21" xfId="78" applyFont="1" applyBorder="1" applyAlignment="1">
      <alignment vertical="center"/>
    </xf>
    <xf numFmtId="0" fontId="30" fillId="0" borderId="22" xfId="78" applyFont="1" applyBorder="1" applyAlignment="1">
      <alignment vertical="center"/>
    </xf>
    <xf numFmtId="0" fontId="30" fillId="0" borderId="134" xfId="78" applyFont="1" applyBorder="1" applyAlignment="1">
      <alignment vertical="center"/>
    </xf>
    <xf numFmtId="0" fontId="30" fillId="0" borderId="142" xfId="78" applyFont="1" applyBorder="1" applyAlignment="1">
      <alignment vertical="center"/>
    </xf>
    <xf numFmtId="0" fontId="30" fillId="0" borderId="135" xfId="78" applyFont="1" applyBorder="1" applyAlignment="1">
      <alignment vertical="center"/>
    </xf>
    <xf numFmtId="0" fontId="30" fillId="0" borderId="121" xfId="78" applyFont="1" applyBorder="1" applyAlignment="1">
      <alignment vertical="center" wrapText="1"/>
    </xf>
    <xf numFmtId="9" fontId="30" fillId="0" borderId="36" xfId="78" applyNumberFormat="1" applyFont="1" applyBorder="1" applyAlignment="1">
      <alignment vertical="center"/>
    </xf>
    <xf numFmtId="9" fontId="30" fillId="0" borderId="37" xfId="78" applyNumberFormat="1" applyFont="1" applyBorder="1" applyAlignment="1">
      <alignment vertical="center"/>
    </xf>
    <xf numFmtId="9" fontId="30" fillId="0" borderId="126" xfId="78" applyNumberFormat="1" applyFont="1" applyBorder="1" applyAlignment="1">
      <alignment vertical="center"/>
    </xf>
    <xf numFmtId="9" fontId="30" fillId="0" borderId="143" xfId="78" applyNumberFormat="1" applyFont="1" applyBorder="1" applyAlignment="1">
      <alignment vertical="center"/>
    </xf>
    <xf numFmtId="9" fontId="30" fillId="0" borderId="144" xfId="78" applyNumberFormat="1" applyFont="1" applyBorder="1" applyAlignment="1">
      <alignment vertical="center"/>
    </xf>
    <xf numFmtId="9" fontId="30" fillId="0" borderId="121" xfId="78" applyNumberFormat="1" applyFont="1" applyBorder="1" applyAlignment="1">
      <alignment vertical="center"/>
    </xf>
    <xf numFmtId="0" fontId="30" fillId="0" borderId="112" xfId="0" applyFont="1" applyBorder="1">
      <alignment vertical="center"/>
    </xf>
    <xf numFmtId="0" fontId="30" fillId="0" borderId="35" xfId="0" applyFont="1" applyBorder="1">
      <alignment vertical="center"/>
    </xf>
    <xf numFmtId="0" fontId="30" fillId="0" borderId="18" xfId="0" applyFont="1" applyBorder="1">
      <alignment vertical="center"/>
    </xf>
    <xf numFmtId="0" fontId="30" fillId="0" borderId="116" xfId="0" applyFont="1" applyBorder="1">
      <alignment vertical="center"/>
    </xf>
    <xf numFmtId="0" fontId="30" fillId="0" borderId="97" xfId="0" applyFont="1" applyBorder="1">
      <alignment vertical="center"/>
    </xf>
    <xf numFmtId="0" fontId="30" fillId="0" borderId="25" xfId="0" applyFont="1" applyBorder="1">
      <alignment vertical="center"/>
    </xf>
    <xf numFmtId="0" fontId="30" fillId="0" borderId="18" xfId="78" applyFont="1" applyBorder="1" applyAlignment="1">
      <alignment vertical="center"/>
    </xf>
    <xf numFmtId="0" fontId="30" fillId="0" borderId="116" xfId="78" applyFont="1" applyBorder="1" applyAlignment="1">
      <alignment vertical="center"/>
    </xf>
    <xf numFmtId="0" fontId="30" fillId="0" borderId="112" xfId="78" applyFont="1" applyBorder="1" applyAlignment="1">
      <alignment vertical="center"/>
    </xf>
    <xf numFmtId="0" fontId="30" fillId="0" borderId="114"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3" xfId="0" applyFont="1" applyBorder="1">
      <alignment vertical="center"/>
    </xf>
    <xf numFmtId="0" fontId="30" fillId="0" borderId="12" xfId="0" applyFont="1" applyBorder="1">
      <alignment vertical="center"/>
    </xf>
    <xf numFmtId="0" fontId="30" fillId="0" borderId="11" xfId="0" applyFont="1" applyBorder="1">
      <alignment vertical="center"/>
    </xf>
    <xf numFmtId="0" fontId="30" fillId="0" borderId="114" xfId="78" applyFont="1" applyBorder="1" applyAlignment="1">
      <alignment vertical="center"/>
    </xf>
    <xf numFmtId="0" fontId="30" fillId="0" borderId="115" xfId="0" applyFont="1" applyBorder="1">
      <alignment vertical="center"/>
    </xf>
    <xf numFmtId="0" fontId="30" fillId="0" borderId="33" xfId="0" applyFont="1" applyBorder="1">
      <alignment vertical="center"/>
    </xf>
    <xf numFmtId="0" fontId="30" fillId="0" borderId="14" xfId="0" applyFont="1" applyBorder="1">
      <alignment vertical="center"/>
    </xf>
    <xf numFmtId="0" fontId="30" fillId="0" borderId="124" xfId="0" applyFont="1" applyBorder="1">
      <alignment vertical="center"/>
    </xf>
    <xf numFmtId="0" fontId="30" fillId="0" borderId="143" xfId="0" applyFont="1" applyBorder="1">
      <alignment vertical="center"/>
    </xf>
    <xf numFmtId="0" fontId="30" fillId="0" borderId="37" xfId="0" applyFont="1" applyBorder="1">
      <alignment vertical="center"/>
    </xf>
    <xf numFmtId="0" fontId="30" fillId="0" borderId="144" xfId="0" applyFont="1" applyBorder="1">
      <alignment vertical="center"/>
    </xf>
    <xf numFmtId="0" fontId="30" fillId="0" borderId="36" xfId="0" applyFont="1" applyBorder="1">
      <alignment vertical="center"/>
    </xf>
    <xf numFmtId="0" fontId="30" fillId="0" borderId="126" xfId="0" applyFont="1" applyBorder="1">
      <alignment vertical="center"/>
    </xf>
    <xf numFmtId="9" fontId="30" fillId="0" borderId="98"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4"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4" xfId="0" applyFont="1" applyBorder="1">
      <alignment vertical="center"/>
    </xf>
    <xf numFmtId="0" fontId="30" fillId="0" borderId="142" xfId="0" applyFont="1" applyBorder="1">
      <alignment vertical="center"/>
    </xf>
    <xf numFmtId="0" fontId="30" fillId="0" borderId="135" xfId="0" applyFont="1" applyBorder="1">
      <alignment vertical="center"/>
    </xf>
    <xf numFmtId="9" fontId="30" fillId="0" borderId="114"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3" xfId="0" applyNumberFormat="1" applyFont="1" applyBorder="1">
      <alignment vertical="center"/>
    </xf>
    <xf numFmtId="184" fontId="30" fillId="0" borderId="114" xfId="78" applyNumberFormat="1" applyFont="1" applyBorder="1" applyAlignment="1">
      <alignment vertical="center"/>
    </xf>
    <xf numFmtId="9" fontId="30" fillId="0" borderId="121" xfId="101" applyFont="1" applyBorder="1">
      <alignment vertical="center"/>
    </xf>
    <xf numFmtId="2" fontId="30" fillId="0" borderId="33" xfId="0" applyNumberFormat="1" applyFont="1" applyBorder="1">
      <alignment vertical="center"/>
    </xf>
    <xf numFmtId="2" fontId="30" fillId="0" borderId="14" xfId="0" applyNumberFormat="1" applyFont="1" applyBorder="1">
      <alignment vertical="center"/>
    </xf>
    <xf numFmtId="2" fontId="30" fillId="0" borderId="124" xfId="0" applyNumberFormat="1" applyFont="1" applyBorder="1">
      <alignment vertical="center"/>
    </xf>
    <xf numFmtId="184" fontId="30" fillId="0" borderId="121" xfId="78" applyNumberFormat="1" applyFont="1" applyBorder="1" applyAlignment="1">
      <alignment vertical="center"/>
    </xf>
    <xf numFmtId="0" fontId="30" fillId="0" borderId="22" xfId="0" applyFont="1" applyBorder="1" applyAlignment="1">
      <alignment horizontal="left" vertical="center" wrapText="1"/>
    </xf>
    <xf numFmtId="0" fontId="30" fillId="0" borderId="134" xfId="0" applyFont="1" applyBorder="1" applyAlignment="1">
      <alignment horizontal="left" vertical="center" wrapText="1"/>
    </xf>
    <xf numFmtId="0" fontId="30" fillId="0" borderId="121" xfId="78" applyFont="1" applyBorder="1" applyAlignment="1">
      <alignment vertical="center"/>
    </xf>
    <xf numFmtId="9" fontId="30" fillId="0" borderId="36" xfId="101" applyFont="1" applyBorder="1">
      <alignment vertical="center"/>
    </xf>
    <xf numFmtId="9" fontId="30" fillId="0" borderId="37" xfId="101" applyFont="1" applyBorder="1">
      <alignment vertical="center"/>
    </xf>
    <xf numFmtId="0" fontId="30" fillId="0" borderId="38" xfId="0" applyFont="1" applyBorder="1" applyAlignment="1">
      <alignment vertical="center" wrapText="1"/>
    </xf>
    <xf numFmtId="0" fontId="0" fillId="0" borderId="140"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6"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7" xfId="68" applyFont="1" applyBorder="1" applyAlignment="1">
      <alignment horizontal="center" vertical="center" wrapText="1"/>
    </xf>
    <xf numFmtId="0" fontId="30" fillId="0" borderId="122" xfId="0" applyFont="1" applyBorder="1">
      <alignment vertical="center"/>
    </xf>
    <xf numFmtId="0" fontId="30" fillId="0" borderId="119" xfId="0" applyFont="1" applyBorder="1" applyAlignment="1">
      <alignment horizontal="center" vertical="center"/>
    </xf>
    <xf numFmtId="0" fontId="30" fillId="0" borderId="36" xfId="101" applyNumberFormat="1" applyFont="1" applyFill="1" applyBorder="1" applyAlignment="1">
      <alignment horizontal="center" vertical="center" wrapText="1"/>
    </xf>
    <xf numFmtId="0" fontId="30" fillId="0" borderId="37" xfId="101" applyNumberFormat="1" applyFont="1" applyFill="1" applyBorder="1" applyAlignment="1">
      <alignment horizontal="center" vertical="center" wrapText="1"/>
    </xf>
    <xf numFmtId="0" fontId="30" fillId="0" borderId="144" xfId="101" applyNumberFormat="1" applyFont="1" applyFill="1" applyBorder="1" applyAlignment="1">
      <alignment horizontal="center" vertical="center" wrapText="1"/>
    </xf>
    <xf numFmtId="0" fontId="30" fillId="0" borderId="126"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40" xfId="68" applyFont="1" applyBorder="1" applyAlignment="1">
      <alignment horizontal="left" vertical="center" wrapText="1"/>
    </xf>
    <xf numFmtId="0" fontId="30" fillId="0" borderId="0" xfId="0" applyFont="1" applyAlignment="1">
      <alignment horizontal="left" vertical="top" wrapText="1"/>
    </xf>
    <xf numFmtId="0" fontId="30" fillId="0" borderId="109" xfId="68" applyFont="1" applyBorder="1" applyAlignment="1">
      <alignment horizontal="center" vertical="center" wrapText="1"/>
    </xf>
    <xf numFmtId="0" fontId="30" fillId="0" borderId="35" xfId="68" applyFont="1" applyBorder="1" applyAlignment="1">
      <alignment horizontal="center" vertical="center" wrapText="1"/>
    </xf>
    <xf numFmtId="181" fontId="30" fillId="0" borderId="97"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6" xfId="55" applyNumberFormat="1" applyFont="1" applyFill="1" applyBorder="1" applyAlignment="1">
      <alignment vertical="center" wrapText="1"/>
    </xf>
    <xf numFmtId="0" fontId="30" fillId="0" borderId="33"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4" xfId="55" applyNumberFormat="1" applyFont="1" applyFill="1" applyBorder="1" applyAlignment="1">
      <alignment vertical="center" wrapText="1"/>
    </xf>
    <xf numFmtId="0" fontId="30" fillId="0" borderId="143" xfId="68" applyFont="1" applyBorder="1" applyAlignment="1">
      <alignment vertical="center"/>
    </xf>
    <xf numFmtId="0" fontId="30" fillId="0" borderId="37" xfId="68" applyFont="1" applyBorder="1" applyAlignment="1">
      <alignment vertical="center"/>
    </xf>
    <xf numFmtId="181" fontId="30" fillId="0" borderId="143" xfId="55" applyNumberFormat="1" applyFont="1" applyFill="1" applyBorder="1" applyAlignment="1">
      <alignment vertical="center" wrapText="1"/>
    </xf>
    <xf numFmtId="0" fontId="45" fillId="0" borderId="38" xfId="0" applyFont="1" applyBorder="1" applyAlignment="1">
      <alignment vertical="center" wrapText="1"/>
    </xf>
    <xf numFmtId="0" fontId="30" fillId="0" borderId="76" xfId="0" applyFont="1" applyBorder="1">
      <alignment vertical="center"/>
    </xf>
    <xf numFmtId="0" fontId="30" fillId="0" borderId="32" xfId="0" applyFont="1" applyBorder="1" applyAlignment="1">
      <alignment horizontal="left" vertical="center" wrapText="1"/>
    </xf>
    <xf numFmtId="0" fontId="45" fillId="0" borderId="87" xfId="0" applyFont="1" applyBorder="1">
      <alignment vertical="center"/>
    </xf>
    <xf numFmtId="0" fontId="30" fillId="0" borderId="30" xfId="68" applyFont="1" applyBorder="1" applyAlignment="1">
      <alignment horizontal="left" vertical="center" wrapText="1"/>
    </xf>
    <xf numFmtId="0" fontId="30" fillId="0" borderId="76" xfId="68" applyFont="1" applyBorder="1" applyAlignment="1">
      <alignment horizontal="left" vertical="center" wrapText="1"/>
    </xf>
    <xf numFmtId="0" fontId="30" fillId="0" borderId="137" xfId="68" applyFont="1" applyBorder="1" applyAlignment="1">
      <alignment horizontal="left" vertical="center" wrapText="1"/>
    </xf>
    <xf numFmtId="0" fontId="30" fillId="0" borderId="63" xfId="68" applyFont="1" applyBorder="1" applyAlignment="1">
      <alignment horizontal="left" vertical="center" wrapText="1"/>
    </xf>
    <xf numFmtId="0" fontId="30" fillId="0" borderId="94" xfId="0" applyFont="1" applyBorder="1" applyAlignment="1">
      <alignment horizontal="left" vertical="center" wrapText="1"/>
    </xf>
    <xf numFmtId="0" fontId="30" fillId="0" borderId="125" xfId="0" applyFont="1" applyBorder="1" applyAlignment="1">
      <alignment horizontal="left" vertical="center" wrapText="1"/>
    </xf>
    <xf numFmtId="0" fontId="30" fillId="0" borderId="141" xfId="0" applyFont="1" applyBorder="1" applyAlignment="1">
      <alignment horizontal="left" vertical="center" wrapText="1"/>
    </xf>
    <xf numFmtId="181" fontId="30" fillId="0" borderId="12" xfId="101" applyNumberFormat="1" applyFont="1" applyBorder="1" applyAlignment="1">
      <alignment vertical="center" wrapText="1"/>
    </xf>
    <xf numFmtId="181" fontId="30" fillId="0" borderId="117" xfId="101" applyNumberFormat="1" applyFont="1" applyBorder="1" applyAlignment="1">
      <alignment vertical="center" wrapText="1"/>
    </xf>
    <xf numFmtId="0" fontId="45" fillId="0" borderId="10" xfId="0" applyFont="1" applyBorder="1">
      <alignment vertical="center"/>
    </xf>
    <xf numFmtId="181" fontId="30" fillId="0" borderId="33" xfId="101" applyNumberFormat="1" applyFont="1" applyBorder="1" applyAlignment="1">
      <alignment vertical="center" wrapText="1"/>
    </xf>
    <xf numFmtId="181" fontId="30" fillId="0" borderId="132" xfId="101" applyNumberFormat="1" applyFont="1" applyBorder="1" applyAlignment="1">
      <alignment vertical="center" wrapText="1"/>
    </xf>
    <xf numFmtId="181" fontId="30" fillId="0" borderId="53" xfId="101" applyNumberFormat="1" applyFont="1" applyBorder="1" applyAlignment="1">
      <alignment vertical="center" wrapText="1"/>
    </xf>
    <xf numFmtId="181" fontId="30" fillId="0" borderId="133" xfId="101" applyNumberFormat="1" applyFont="1" applyBorder="1" applyAlignment="1">
      <alignment vertical="center" wrapText="1"/>
    </xf>
    <xf numFmtId="181" fontId="30" fillId="0" borderId="122" xfId="101" applyNumberFormat="1" applyFont="1" applyBorder="1" applyAlignment="1">
      <alignment vertical="center" wrapText="1"/>
    </xf>
    <xf numFmtId="181" fontId="30" fillId="0" borderId="86" xfId="101" applyNumberFormat="1" applyFont="1" applyBorder="1" applyAlignment="1">
      <alignment vertical="center" wrapText="1"/>
    </xf>
    <xf numFmtId="0" fontId="45" fillId="0" borderId="96" xfId="0" applyFont="1" applyBorder="1">
      <alignment vertical="center"/>
    </xf>
    <xf numFmtId="0" fontId="45" fillId="0" borderId="140" xfId="0" applyFont="1" applyBorder="1">
      <alignment vertical="center"/>
    </xf>
    <xf numFmtId="0" fontId="45" fillId="0" borderId="31" xfId="0" applyFont="1" applyBorder="1">
      <alignment vertical="center"/>
    </xf>
    <xf numFmtId="0" fontId="45" fillId="0" borderId="139" xfId="0" applyFont="1" applyBorder="1">
      <alignment vertical="center"/>
    </xf>
    <xf numFmtId="0" fontId="45" fillId="0" borderId="32" xfId="0" applyFont="1" applyBorder="1">
      <alignment vertical="center"/>
    </xf>
    <xf numFmtId="0" fontId="45" fillId="0" borderId="93" xfId="0" applyFont="1" applyBorder="1">
      <alignment vertical="center"/>
    </xf>
    <xf numFmtId="0" fontId="45" fillId="0" borderId="125" xfId="0" applyFont="1" applyBorder="1">
      <alignment vertical="center"/>
    </xf>
    <xf numFmtId="0" fontId="0" fillId="0" borderId="141" xfId="0" applyFont="1" applyBorder="1">
      <alignment vertical="center"/>
    </xf>
    <xf numFmtId="0" fontId="0" fillId="0" borderId="63" xfId="0" applyFont="1" applyBorder="1">
      <alignment vertical="center"/>
    </xf>
    <xf numFmtId="0" fontId="0" fillId="0" borderId="125"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31" xfId="0" applyFont="1" applyBorder="1" applyAlignment="1">
      <alignment vertical="center" wrapText="1"/>
    </xf>
    <xf numFmtId="49" fontId="30" fillId="0" borderId="38" xfId="0" applyNumberFormat="1" applyFont="1" applyBorder="1">
      <alignment vertical="center"/>
    </xf>
    <xf numFmtId="0" fontId="30" fillId="0" borderId="145" xfId="0" applyFont="1" applyBorder="1" applyAlignment="1">
      <alignment vertical="center" wrapText="1"/>
    </xf>
    <xf numFmtId="49" fontId="30" fillId="0" borderId="86" xfId="0" applyNumberFormat="1" applyFont="1" applyBorder="1">
      <alignment vertical="center"/>
    </xf>
    <xf numFmtId="181" fontId="30" fillId="0" borderId="38" xfId="101" applyNumberFormat="1" applyFont="1" applyFill="1" applyBorder="1" applyAlignment="1">
      <alignment vertical="center" wrapText="1"/>
    </xf>
    <xf numFmtId="0" fontId="30" fillId="0" borderId="140" xfId="0" applyFont="1" applyBorder="1" applyAlignment="1">
      <alignment vertical="center" wrapText="1"/>
    </xf>
    <xf numFmtId="0" fontId="0" fillId="0" borderId="145"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76">
    <dxf>
      <fill>
        <patternFill patternType="solid">
          <bgColor theme="9" tint="0.8"/>
        </patternFill>
      </fill>
    </dxf>
    <dxf>
      <fill>
        <patternFill patternType="solid">
          <bgColor theme="0"/>
        </patternFill>
      </fill>
    </dxf>
    <dxf>
      <fill>
        <patternFill patternType="solid">
          <bgColor theme="0" tint="-0.3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9" tint="0.8"/>
        </patternFill>
      </fill>
    </dxf>
    <dxf>
      <fill>
        <patternFill patternType="solid">
          <bgColor theme="0" tint="-0.35"/>
        </patternFill>
      </fill>
    </dxf>
    <dxf>
      <fill>
        <patternFill patternType="solid">
          <bgColor theme="9" tint="0.8"/>
        </patternFill>
      </fill>
    </dxf>
    <dxf>
      <fill>
        <patternFill patternType="solid">
          <bgColor theme="1" tint="0.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1" tint="0.5"/>
        </patternFill>
      </fill>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style="thin">
          <color theme="1" tint="0.5"/>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0" tint="-5.e-002"/>
      </font>
      <fill>
        <patternFill patternType="solid">
          <fgColor theme="0" tint="-5.e-002"/>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ill>
        <patternFill patternType="solid">
          <fgColor theme="0" tint="-5.e-002"/>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2" tint="-0.1"/>
      </font>
      <fill>
        <patternFill patternType="solid">
          <bgColor theme="2" tint="-0.1"/>
        </patternFill>
      </fill>
      <border>
        <right/>
        <top/>
        <bottom/>
      </border>
    </dxf>
    <dxf>
      <font>
        <color theme="0" tint="-5.e-002"/>
      </font>
      <fill>
        <patternFill patternType="solid">
          <bgColor theme="0" tint="-5.e-002"/>
        </patternFill>
      </fill>
      <border>
        <left/>
        <right/>
        <top/>
        <bottom/>
      </border>
    </dxf>
    <dxf>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ill>
        <patternFill patternType="solid">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customXml" Target="../customXml/item2.xml" /><Relationship Id="rId8" Type="http://schemas.openxmlformats.org/officeDocument/2006/relationships/customXml" Target="../customXml/item1.xml" /><Relationship Id="rId9" Type="http://schemas.openxmlformats.org/officeDocument/2006/relationships/customXml" Target="../customXml/item3.xml" /><Relationship Id="rId10" Type="http://schemas.openxmlformats.org/officeDocument/2006/relationships/theme" Target="theme/theme1.xml" /><Relationship Id="rId11" Type="http://schemas.openxmlformats.org/officeDocument/2006/relationships/sharedStrings" Target="sharedStrings.xml" /><Relationship Id="rId12" Type="http://schemas.openxmlformats.org/officeDocument/2006/relationships/styles" Target="styles.xml" /><Relationship Id="rId13" Type="http://schemas.openxmlformats.org/officeDocument/2006/relationships/sheetMetadata" Target="metadata.xml"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302510"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26365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205105</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0770870" y="347345"/>
          <a:ext cx="2328545"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8923655" y="111760"/>
          <a:ext cx="997585"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408305</xdr:colOff>
      <xdr:row>1</xdr:row>
      <xdr:rowOff>363855</xdr:rowOff>
    </xdr:from>
    <xdr:to xmlns:xdr="http://schemas.openxmlformats.org/drawingml/2006/spreadsheetDrawing">
      <xdr:col>34</xdr:col>
      <xdr:colOff>861695</xdr:colOff>
      <xdr:row>2</xdr:row>
      <xdr:rowOff>127635</xdr:rowOff>
    </xdr:to>
    <xdr:sp macro="" textlink="">
      <xdr:nvSpPr>
        <xdr:cNvPr id="42" name="正方形/長方形 41"/>
        <xdr:cNvSpPr/>
      </xdr:nvSpPr>
      <xdr:spPr>
        <a:xfrm>
          <a:off x="10974070" y="921385"/>
          <a:ext cx="453390"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469390" y="1764030"/>
          <a:ext cx="770255"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80010</xdr:colOff>
      <xdr:row>4</xdr:row>
      <xdr:rowOff>79375</xdr:rowOff>
    </xdr:from>
    <xdr:to xmlns:xdr="http://schemas.openxmlformats.org/drawingml/2006/spreadsheetDrawing">
      <xdr:col>23</xdr:col>
      <xdr:colOff>145415</xdr:colOff>
      <xdr:row>7</xdr:row>
      <xdr:rowOff>81915</xdr:rowOff>
    </xdr:to>
    <xdr:sp macro="" textlink="">
      <xdr:nvSpPr>
        <xdr:cNvPr id="86" name="テキスト ボックス 14"/>
        <xdr:cNvSpPr txBox="1"/>
      </xdr:nvSpPr>
      <xdr:spPr>
        <a:xfrm>
          <a:off x="2888615" y="1766570"/>
          <a:ext cx="1059815"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645795</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7860030" y="1742440"/>
          <a:ext cx="554990"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241935</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044950" y="2021840"/>
          <a:ext cx="49847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4639310" y="1764030"/>
          <a:ext cx="113220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59055</xdr:colOff>
      <xdr:row>6</xdr:row>
      <xdr:rowOff>78105</xdr:rowOff>
    </xdr:to>
    <xdr:sp macro="" textlink="">
      <xdr:nvSpPr>
        <xdr:cNvPr id="10" name="矢印: 右 12"/>
        <xdr:cNvSpPr/>
      </xdr:nvSpPr>
      <xdr:spPr>
        <a:xfrm>
          <a:off x="5867400" y="2024380"/>
          <a:ext cx="471805"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6435090" y="1766570"/>
          <a:ext cx="75057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55880</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7270115" y="2023745"/>
          <a:ext cx="494665"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946150" y="25292050"/>
              <a:ext cx="14859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946150" y="11592560"/>
              <a:ext cx="148590"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946150" y="4580890"/>
              <a:ext cx="148590" cy="42227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946150" y="24091900"/>
              <a:ext cx="148590" cy="120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946150" y="11516360"/>
              <a:ext cx="148590"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946150" y="25292050"/>
              <a:ext cx="148590" cy="2183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183515" y="30913070"/>
              <a:ext cx="19113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183515" y="30913070"/>
              <a:ext cx="19113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40665" y="993394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107055" y="3245485"/>
          <a:ext cx="732155"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151130</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103245" y="3638550"/>
          <a:ext cx="344170"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61030"/>
              <a:ext cx="20256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9525</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65220"/>
              <a:ext cx="23558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9525</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537025"/>
              <a:ext cx="23558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30001845"/>
              <a:ext cx="23558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69510"/>
              <a:ext cx="22606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932120"/>
              <a:ext cx="22606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28575</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35915" y="9945370"/>
              <a:ext cx="252095" cy="180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238125</xdr:rowOff>
        </xdr:to>
        <xdr:sp textlink="">
          <xdr:nvSpPr>
            <xdr:cNvPr id="106506" name="チェック 10" hidden="1">
              <a:extLst>
                <a:ext uri="{63B3BB69-23CF-44E3-9099-C40C66FF867C}">
                  <a14:compatExt spid="_x0000_s106506"/>
                </a:ext>
              </a:extLst>
            </xdr:cNvPr>
            <xdr:cNvSpPr>
              <a:spLocks noRot="1" noChangeShapeType="1"/>
            </xdr:cNvSpPr>
          </xdr:nvSpPr>
          <xdr:spPr>
            <a:xfrm>
              <a:off x="335915" y="10188575"/>
              <a:ext cx="21399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35915" y="10378440"/>
              <a:ext cx="213995"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35915" y="10631170"/>
              <a:ext cx="233045"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9525</xdr:colOff>
          <xdr:row>112</xdr:row>
          <xdr:rowOff>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50815"/>
              <a:ext cx="23558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946150" y="19037935"/>
              <a:ext cx="148590" cy="49980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946150" y="23824565"/>
              <a:ext cx="14859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946150" y="19032855"/>
              <a:ext cx="152400" cy="4999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946150" y="23824565"/>
              <a:ext cx="15240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946150" y="19032855"/>
              <a:ext cx="152400" cy="50584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946150" y="24015065"/>
              <a:ext cx="15240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946150" y="19037935"/>
              <a:ext cx="148590" cy="5053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946150" y="24015065"/>
              <a:ext cx="14859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946150" y="20746085"/>
              <a:ext cx="1524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946150" y="20746085"/>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946150" y="23634065"/>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946150" y="23634065"/>
              <a:ext cx="1524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6337935" y="22781260"/>
              <a:ext cx="148590"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6337935" y="22781260"/>
              <a:ext cx="152400"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7752715" y="27305"/>
          <a:ext cx="6360795" cy="321945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946150" y="11592560"/>
              <a:ext cx="148590" cy="29781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40640</xdr:colOff>
      <xdr:row>0</xdr:row>
      <xdr:rowOff>78740</xdr:rowOff>
    </xdr:from>
    <xdr:to xmlns:xdr="http://schemas.openxmlformats.org/drawingml/2006/spreadsheetDrawing">
      <xdr:col>29</xdr:col>
      <xdr:colOff>1075055</xdr:colOff>
      <xdr:row>3</xdr:row>
      <xdr:rowOff>5080</xdr:rowOff>
    </xdr:to>
    <xdr:grpSp>
      <xdr:nvGrpSpPr>
        <xdr:cNvPr id="5" name="グループ化 4"/>
        <xdr:cNvGrpSpPr/>
      </xdr:nvGrpSpPr>
      <xdr:grpSpPr>
        <a:xfrm>
          <a:off x="5938520" y="78740"/>
          <a:ext cx="1089152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34925</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5932805" y="74295"/>
          <a:ext cx="10874375"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6</xdr:row>
          <xdr:rowOff>0</xdr:rowOff>
        </xdr:from>
        <xdr:to xmlns:xdr="http://schemas.openxmlformats.org/drawingml/2006/spreadsheetDrawing">
          <xdr:col>5</xdr:col>
          <xdr:colOff>20320</xdr:colOff>
          <xdr:row>8</xdr:row>
          <xdr:rowOff>0</xdr:rowOff>
        </xdr:to>
        <xdr:grpSp>
          <xdr:nvGrpSpPr>
            <xdr:cNvPr id="3" name="Group 41"/>
            <xdr:cNvGrpSpPr/>
          </xdr:nvGrpSpPr>
          <xdr:grpSpPr>
            <a:xfrm>
              <a:off x="7743190" y="2223770"/>
              <a:ext cx="289814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13</xdr:row>
          <xdr:rowOff>0</xdr:rowOff>
        </xdr:from>
        <xdr:to xmlns:xdr="http://schemas.openxmlformats.org/drawingml/2006/spreadsheetDrawing">
          <xdr:col>5</xdr:col>
          <xdr:colOff>20320</xdr:colOff>
          <xdr:row>15</xdr:row>
          <xdr:rowOff>0</xdr:rowOff>
        </xdr:to>
        <xdr:grpSp>
          <xdr:nvGrpSpPr>
            <xdr:cNvPr id="4" name="Group 41"/>
            <xdr:cNvGrpSpPr/>
          </xdr:nvGrpSpPr>
          <xdr:grpSpPr>
            <a:xfrm>
              <a:off x="7743190" y="5461635"/>
              <a:ext cx="289814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15</xdr:row>
          <xdr:rowOff>0</xdr:rowOff>
        </xdr:from>
        <xdr:to xmlns:xdr="http://schemas.openxmlformats.org/drawingml/2006/spreadsheetDrawing">
          <xdr:col>5</xdr:col>
          <xdr:colOff>20320</xdr:colOff>
          <xdr:row>16</xdr:row>
          <xdr:rowOff>0</xdr:rowOff>
        </xdr:to>
        <xdr:grpSp>
          <xdr:nvGrpSpPr>
            <xdr:cNvPr id="5" name="Group 41"/>
            <xdr:cNvGrpSpPr/>
          </xdr:nvGrpSpPr>
          <xdr:grpSpPr>
            <a:xfrm>
              <a:off x="7743190" y="6100445"/>
              <a:ext cx="289814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1999575" y="459740"/>
          <a:ext cx="10239375"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view="pageBreakPreview" zoomScale="80" zoomScaleNormal="67" zoomScaleSheetLayoutView="80" workbookViewId="0">
      <selection activeCell="L48" sqref="L48:P48"/>
    </sheetView>
  </sheetViews>
  <sheetFormatPr defaultColWidth="9" defaultRowHeight="20.100000000000001" customHeight="1"/>
  <cols>
    <col min="1" max="1" width="6.5" style="1" customWidth="1"/>
    <col min="2" max="11" width="0.875" style="1" customWidth="1"/>
    <col min="12" max="17" width="1.5" style="1" customWidth="1"/>
    <col min="18" max="18" width="2.5" style="1" customWidth="1"/>
    <col min="19" max="19" width="1.5" style="1" customWidth="1"/>
    <col min="20" max="20" width="3.5" style="1" customWidth="1"/>
    <col min="21" max="21" width="1.75" style="1" customWidth="1"/>
    <col min="22" max="22" width="7.5" style="1" customWidth="1"/>
    <col min="23" max="23" width="14.5" style="1" customWidth="1"/>
    <col min="24" max="24" width="10.5" style="1" customWidth="1"/>
    <col min="25" max="25" width="4.875" style="1" customWidth="1"/>
    <col min="26" max="26" width="10.25" style="1" customWidth="1"/>
    <col min="27" max="27" width="10.5" style="1" customWidth="1"/>
    <col min="28" max="28" width="10.875" style="2" customWidth="1"/>
    <col min="29" max="29" width="2.75" style="2" customWidth="1"/>
    <col min="30" max="30" width="12.5" style="2" customWidth="1"/>
    <col min="31" max="31" width="10.875" style="1" customWidth="1"/>
    <col min="32" max="32" width="9.5" style="1"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s>
  <sheetData>
    <row r="1" spans="1:41" s="3" customFormat="1" ht="43.9" customHeight="1">
      <c r="A1" s="6" t="s">
        <v>18</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23"/>
      <c r="AO1" s="125" t="s">
        <v>22</v>
      </c>
    </row>
    <row r="2" spans="1:41" s="3" customFormat="1" ht="28.9" customHeight="1">
      <c r="A2" s="7" t="s">
        <v>28</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39</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13</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46</v>
      </c>
      <c r="B9" s="5"/>
      <c r="C9" s="5"/>
      <c r="D9" s="5"/>
      <c r="E9" s="5"/>
      <c r="F9" s="5"/>
      <c r="G9" s="5"/>
      <c r="H9" s="5"/>
      <c r="I9" s="5"/>
      <c r="J9" s="5"/>
      <c r="K9" s="5"/>
      <c r="L9" s="5"/>
      <c r="M9" s="5"/>
      <c r="N9" s="5"/>
      <c r="O9" s="5"/>
      <c r="P9" s="5"/>
      <c r="Q9" s="5"/>
      <c r="R9" s="5"/>
      <c r="S9" s="5"/>
      <c r="T9" s="5"/>
      <c r="U9" s="5"/>
      <c r="V9" s="5"/>
      <c r="W9" s="5"/>
      <c r="X9" s="5"/>
      <c r="Y9" s="5"/>
      <c r="Z9" s="5"/>
      <c r="AA9" s="5"/>
      <c r="AB9" s="44"/>
      <c r="AC9" s="44"/>
      <c r="AD9" s="44"/>
    </row>
    <row r="10" spans="1:41" s="5" customFormat="1" ht="18.600000000000001" customHeight="1">
      <c r="A10" s="5" t="s">
        <v>49</v>
      </c>
      <c r="B10" s="10"/>
      <c r="AE10" s="10"/>
      <c r="AF10" s="10"/>
    </row>
    <row r="11" spans="1:41" ht="19.899999999999999" customHeight="1">
      <c r="A11" s="5" t="s">
        <v>26</v>
      </c>
      <c r="B11" s="30"/>
      <c r="C11" s="43"/>
      <c r="D11" s="49"/>
      <c r="E11" s="49"/>
      <c r="F11" s="49"/>
      <c r="G11" s="49"/>
      <c r="H11" s="49"/>
      <c r="I11" s="49"/>
      <c r="J11" s="49"/>
      <c r="K11" s="49"/>
      <c r="L11" s="49"/>
      <c r="M11" s="49"/>
      <c r="N11" s="49"/>
      <c r="O11" s="49"/>
      <c r="P11" s="49"/>
      <c r="Q11" s="49"/>
      <c r="R11" s="78"/>
      <c r="S11" s="5"/>
      <c r="T11" s="5"/>
      <c r="U11" s="5"/>
      <c r="V11" s="5"/>
      <c r="W11" s="5"/>
      <c r="X11" s="5"/>
      <c r="Y11" s="5"/>
      <c r="Z11" s="5"/>
      <c r="AA11" s="5"/>
      <c r="AB11" s="44"/>
      <c r="AC11" s="44"/>
      <c r="AD11" s="44"/>
    </row>
    <row r="12" spans="1:41" ht="13.15" customHeight="1">
      <c r="A12" s="10"/>
      <c r="B12" s="10"/>
      <c r="C12" s="44"/>
      <c r="D12" s="10"/>
      <c r="E12" s="44"/>
      <c r="F12" s="10"/>
      <c r="G12" s="10"/>
      <c r="H12" s="10"/>
      <c r="I12" s="10"/>
      <c r="J12" s="10"/>
      <c r="K12" s="10"/>
      <c r="L12" s="10"/>
      <c r="M12" s="10"/>
      <c r="N12" s="10"/>
      <c r="O12" s="10"/>
      <c r="P12" s="10"/>
      <c r="Q12" s="10"/>
      <c r="R12" s="10"/>
      <c r="S12" s="10"/>
      <c r="T12" s="10"/>
      <c r="U12" s="10"/>
      <c r="V12" s="10"/>
      <c r="W12" s="10"/>
      <c r="X12" s="10"/>
      <c r="Y12" s="10"/>
      <c r="Z12" s="44"/>
      <c r="AB12" s="100"/>
      <c r="AC12" s="100"/>
      <c r="AD12" s="100"/>
    </row>
    <row r="13" spans="1:41" s="3" customFormat="1" ht="20.100000000000001" customHeight="1">
      <c r="A13" s="11" t="s">
        <v>54</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 customHeight="1">
      <c r="A14" s="12" t="s">
        <v>9</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00000000000001" customHeight="1">
      <c r="A15" s="13" t="s">
        <v>64</v>
      </c>
      <c r="B15" s="31" t="s">
        <v>77</v>
      </c>
      <c r="C15" s="31"/>
      <c r="D15" s="31"/>
      <c r="E15" s="31"/>
      <c r="F15" s="31"/>
      <c r="G15" s="31"/>
      <c r="H15" s="31"/>
      <c r="I15" s="31"/>
      <c r="J15" s="31"/>
      <c r="K15" s="31"/>
      <c r="L15" s="54"/>
      <c r="M15" s="64"/>
      <c r="N15" s="64"/>
      <c r="O15" s="64"/>
      <c r="P15" s="64"/>
      <c r="Q15" s="64"/>
      <c r="R15" s="64"/>
      <c r="S15" s="64"/>
      <c r="T15" s="64"/>
      <c r="U15" s="64"/>
      <c r="V15" s="64"/>
      <c r="W15" s="64"/>
      <c r="X15" s="64"/>
      <c r="Y15" s="64"/>
      <c r="Z15" s="64"/>
      <c r="AA15" s="64"/>
      <c r="AB15" s="64"/>
      <c r="AC15" s="64"/>
      <c r="AD15" s="64"/>
      <c r="AE15" s="64"/>
      <c r="AF15" s="114"/>
    </row>
    <row r="16" spans="1:41" ht="20.100000000000001" customHeight="1">
      <c r="A16" s="14"/>
      <c r="B16" s="31" t="s">
        <v>80</v>
      </c>
      <c r="C16" s="31"/>
      <c r="D16" s="31"/>
      <c r="E16" s="31"/>
      <c r="F16" s="31"/>
      <c r="G16" s="31"/>
      <c r="H16" s="31"/>
      <c r="I16" s="31"/>
      <c r="J16" s="31"/>
      <c r="K16" s="31"/>
      <c r="L16" s="54"/>
      <c r="M16" s="64"/>
      <c r="N16" s="64"/>
      <c r="O16" s="64"/>
      <c r="P16" s="64"/>
      <c r="Q16" s="64"/>
      <c r="R16" s="64"/>
      <c r="S16" s="64"/>
      <c r="T16" s="64"/>
      <c r="U16" s="64"/>
      <c r="V16" s="64"/>
      <c r="W16" s="64"/>
      <c r="X16" s="64"/>
      <c r="Y16" s="64"/>
      <c r="Z16" s="64"/>
      <c r="AA16" s="64"/>
      <c r="AB16" s="64"/>
      <c r="AC16" s="64"/>
      <c r="AD16" s="64"/>
      <c r="AE16" s="64"/>
      <c r="AF16" s="114"/>
    </row>
    <row r="17" spans="1:41" ht="20.100000000000001" customHeight="1">
      <c r="A17" s="15" t="s">
        <v>82</v>
      </c>
      <c r="B17" s="31" t="s">
        <v>89</v>
      </c>
      <c r="C17" s="31"/>
      <c r="D17" s="31"/>
      <c r="E17" s="31"/>
      <c r="F17" s="31"/>
      <c r="G17" s="31"/>
      <c r="H17" s="31"/>
      <c r="I17" s="31"/>
      <c r="J17" s="31"/>
      <c r="K17" s="31"/>
      <c r="L17" s="55"/>
      <c r="M17" s="65"/>
      <c r="N17" s="65"/>
      <c r="O17" s="71"/>
      <c r="P17" s="72" t="s">
        <v>93</v>
      </c>
      <c r="Q17" s="73"/>
      <c r="R17" s="79"/>
      <c r="S17" s="79"/>
      <c r="T17" s="79"/>
      <c r="U17" s="83"/>
      <c r="V17" s="10"/>
      <c r="W17" s="10"/>
      <c r="X17" s="10"/>
      <c r="Y17" s="10"/>
      <c r="Z17" s="10"/>
      <c r="AB17" s="1"/>
      <c r="AC17" s="1"/>
      <c r="AD17" s="1"/>
      <c r="AO17" s="126" t="s">
        <v>69</v>
      </c>
    </row>
    <row r="18" spans="1:41" ht="44.1" customHeight="1">
      <c r="A18" s="16"/>
      <c r="B18" s="32" t="s">
        <v>95</v>
      </c>
      <c r="C18" s="32"/>
      <c r="D18" s="32"/>
      <c r="E18" s="32"/>
      <c r="F18" s="32"/>
      <c r="G18" s="32"/>
      <c r="H18" s="32"/>
      <c r="I18" s="32"/>
      <c r="J18" s="32"/>
      <c r="K18" s="32"/>
      <c r="L18" s="54"/>
      <c r="M18" s="64"/>
      <c r="N18" s="64"/>
      <c r="O18" s="64"/>
      <c r="P18" s="64"/>
      <c r="Q18" s="64"/>
      <c r="R18" s="64"/>
      <c r="S18" s="64"/>
      <c r="T18" s="64"/>
      <c r="U18" s="64"/>
      <c r="V18" s="64"/>
      <c r="W18" s="64"/>
      <c r="X18" s="64"/>
      <c r="Y18" s="64"/>
      <c r="Z18" s="64"/>
      <c r="AA18" s="64"/>
      <c r="AB18" s="64"/>
      <c r="AC18" s="64"/>
      <c r="AD18" s="64"/>
      <c r="AE18" s="64"/>
      <c r="AF18" s="114"/>
      <c r="AO18" s="126" t="str">
        <f>L17&amp;"-"&amp;Q17</f>
        <v>-</v>
      </c>
    </row>
    <row r="19" spans="1:41" ht="38.25" customHeight="1">
      <c r="A19" s="17"/>
      <c r="B19" s="32" t="s">
        <v>97</v>
      </c>
      <c r="C19" s="32"/>
      <c r="D19" s="32"/>
      <c r="E19" s="32"/>
      <c r="F19" s="32"/>
      <c r="G19" s="32"/>
      <c r="H19" s="32"/>
      <c r="I19" s="32"/>
      <c r="J19" s="32"/>
      <c r="K19" s="32"/>
      <c r="L19" s="56"/>
      <c r="M19" s="66"/>
      <c r="N19" s="66"/>
      <c r="O19" s="66"/>
      <c r="P19" s="66"/>
      <c r="Q19" s="66"/>
      <c r="R19" s="66"/>
      <c r="S19" s="66"/>
      <c r="T19" s="66"/>
      <c r="U19" s="66"/>
      <c r="V19" s="66"/>
      <c r="W19" s="66"/>
      <c r="X19" s="66"/>
      <c r="Y19" s="66"/>
      <c r="Z19" s="66"/>
      <c r="AA19" s="66"/>
      <c r="AB19" s="66"/>
      <c r="AC19" s="66"/>
      <c r="AD19" s="66"/>
      <c r="AE19" s="66"/>
      <c r="AF19" s="115"/>
    </row>
    <row r="20" spans="1:41" ht="30" customHeight="1">
      <c r="A20" s="18" t="s">
        <v>104</v>
      </c>
      <c r="B20" s="33" t="s">
        <v>112</v>
      </c>
      <c r="C20" s="31"/>
      <c r="D20" s="31"/>
      <c r="E20" s="31"/>
      <c r="F20" s="31"/>
      <c r="G20" s="31"/>
      <c r="H20" s="31"/>
      <c r="I20" s="31"/>
      <c r="J20" s="31"/>
      <c r="K20" s="31"/>
      <c r="L20" s="57"/>
      <c r="M20" s="67"/>
      <c r="N20" s="67"/>
      <c r="O20" s="67"/>
      <c r="P20" s="67"/>
      <c r="Q20" s="67"/>
      <c r="R20" s="67"/>
      <c r="S20" s="67"/>
      <c r="T20" s="67"/>
      <c r="U20" s="67"/>
      <c r="V20" s="67"/>
      <c r="W20" s="67"/>
      <c r="X20" s="67"/>
      <c r="Y20" s="67"/>
      <c r="Z20" s="67"/>
      <c r="AA20" s="67"/>
      <c r="AB20" s="67"/>
      <c r="AC20" s="67"/>
      <c r="AD20" s="67"/>
      <c r="AE20" s="67"/>
      <c r="AF20" s="95"/>
    </row>
    <row r="21" spans="1:41" ht="19.5" customHeight="1">
      <c r="A21" s="19"/>
      <c r="B21" s="34" t="s">
        <v>121</v>
      </c>
      <c r="C21" s="34"/>
      <c r="D21" s="34"/>
      <c r="E21" s="34"/>
      <c r="F21" s="34"/>
      <c r="G21" s="34"/>
      <c r="H21" s="34"/>
      <c r="I21" s="34"/>
      <c r="J21" s="34"/>
      <c r="K21" s="33"/>
      <c r="L21" s="57"/>
      <c r="M21" s="67"/>
      <c r="N21" s="67"/>
      <c r="O21" s="67"/>
      <c r="P21" s="67"/>
      <c r="Q21" s="67"/>
      <c r="R21" s="67"/>
      <c r="S21" s="67"/>
      <c r="T21" s="67"/>
      <c r="U21" s="67"/>
      <c r="V21" s="67"/>
      <c r="W21" s="67"/>
      <c r="X21" s="67"/>
      <c r="Y21" s="67"/>
      <c r="Z21" s="67"/>
      <c r="AA21" s="67"/>
      <c r="AB21" s="67"/>
      <c r="AC21" s="67"/>
      <c r="AD21" s="67"/>
      <c r="AE21" s="67"/>
      <c r="AF21" s="95"/>
    </row>
    <row r="22" spans="1:41" ht="20.100000000000001" customHeight="1">
      <c r="A22" s="20" t="s">
        <v>130</v>
      </c>
      <c r="B22" s="35"/>
      <c r="C22" s="35"/>
      <c r="D22" s="35"/>
      <c r="E22" s="35"/>
      <c r="F22" s="35"/>
      <c r="G22" s="35"/>
      <c r="H22" s="35"/>
      <c r="I22" s="35"/>
      <c r="J22" s="35"/>
      <c r="K22" s="51"/>
      <c r="L22" s="58"/>
      <c r="M22" s="68"/>
      <c r="N22" s="68"/>
      <c r="O22" s="68"/>
      <c r="P22" s="68"/>
      <c r="Q22" s="68"/>
      <c r="R22" s="68"/>
      <c r="S22" s="68"/>
      <c r="T22" s="68"/>
      <c r="U22" s="68"/>
      <c r="V22" s="84"/>
      <c r="W22" s="87"/>
      <c r="X22" s="87"/>
      <c r="Y22" s="87"/>
      <c r="Z22" s="87"/>
      <c r="AA22" s="98"/>
      <c r="AB22" s="98"/>
      <c r="AC22" s="98"/>
      <c r="AD22" s="98"/>
      <c r="AE22" s="98"/>
      <c r="AF22" s="98"/>
    </row>
    <row r="23" spans="1:41" ht="20.100000000000001" customHeight="1">
      <c r="A23" s="21" t="s">
        <v>143</v>
      </c>
      <c r="B23" s="31" t="s">
        <v>77</v>
      </c>
      <c r="C23" s="31"/>
      <c r="D23" s="31"/>
      <c r="E23" s="31"/>
      <c r="F23" s="31"/>
      <c r="G23" s="31"/>
      <c r="H23" s="31"/>
      <c r="I23" s="31"/>
      <c r="J23" s="31"/>
      <c r="K23" s="31"/>
      <c r="L23" s="57"/>
      <c r="M23" s="67"/>
      <c r="N23" s="67"/>
      <c r="O23" s="67"/>
      <c r="P23" s="67"/>
      <c r="Q23" s="67"/>
      <c r="R23" s="67"/>
      <c r="S23" s="67"/>
      <c r="T23" s="67"/>
      <c r="U23" s="67"/>
      <c r="V23" s="67"/>
      <c r="W23" s="67"/>
      <c r="X23" s="95"/>
      <c r="Y23" s="87"/>
      <c r="Z23" s="87"/>
      <c r="AA23" s="98"/>
      <c r="AB23" s="98"/>
      <c r="AC23" s="98"/>
      <c r="AD23" s="98"/>
      <c r="AE23" s="98"/>
      <c r="AF23" s="98"/>
    </row>
    <row r="24" spans="1:41" ht="20.100000000000001" customHeight="1">
      <c r="A24" s="22"/>
      <c r="B24" s="36" t="s">
        <v>121</v>
      </c>
      <c r="C24" s="36"/>
      <c r="D24" s="36"/>
      <c r="E24" s="36"/>
      <c r="F24" s="36"/>
      <c r="G24" s="36"/>
      <c r="H24" s="36"/>
      <c r="I24" s="36"/>
      <c r="J24" s="36"/>
      <c r="K24" s="36"/>
      <c r="L24" s="57"/>
      <c r="M24" s="67"/>
      <c r="N24" s="67"/>
      <c r="O24" s="67"/>
      <c r="P24" s="67"/>
      <c r="Q24" s="67"/>
      <c r="R24" s="67"/>
      <c r="S24" s="67"/>
      <c r="T24" s="67"/>
      <c r="U24" s="67"/>
      <c r="V24" s="67"/>
      <c r="W24" s="67"/>
      <c r="X24" s="95"/>
      <c r="Y24" s="87"/>
      <c r="Z24" s="87"/>
      <c r="AA24" s="98"/>
      <c r="AB24" s="98"/>
      <c r="AC24" s="98"/>
      <c r="AD24" s="98"/>
      <c r="AE24" s="98"/>
      <c r="AF24" s="98"/>
    </row>
    <row r="25" spans="1:41" ht="20.100000000000001" customHeight="1">
      <c r="A25" s="15" t="s">
        <v>146</v>
      </c>
      <c r="B25" s="31" t="s">
        <v>59</v>
      </c>
      <c r="C25" s="31"/>
      <c r="D25" s="31"/>
      <c r="E25" s="31"/>
      <c r="F25" s="31"/>
      <c r="G25" s="31"/>
      <c r="H25" s="31"/>
      <c r="I25" s="31"/>
      <c r="J25" s="31"/>
      <c r="K25" s="31"/>
      <c r="L25" s="57"/>
      <c r="M25" s="67"/>
      <c r="N25" s="67"/>
      <c r="O25" s="67"/>
      <c r="P25" s="67"/>
      <c r="Q25" s="67"/>
      <c r="R25" s="67"/>
      <c r="S25" s="67"/>
      <c r="T25" s="67"/>
      <c r="U25" s="67"/>
      <c r="V25" s="67"/>
      <c r="W25" s="67"/>
      <c r="X25" s="95"/>
      <c r="Y25" s="87"/>
      <c r="Z25" s="87"/>
      <c r="AA25" s="98"/>
      <c r="AB25" s="98"/>
      <c r="AC25" s="98"/>
      <c r="AD25" s="98"/>
      <c r="AE25" s="98"/>
      <c r="AF25" s="98"/>
    </row>
    <row r="26" spans="1:41" ht="20.100000000000001" customHeight="1">
      <c r="A26" s="17"/>
      <c r="B26" s="31" t="s">
        <v>151</v>
      </c>
      <c r="C26" s="31"/>
      <c r="D26" s="31"/>
      <c r="E26" s="31"/>
      <c r="F26" s="31"/>
      <c r="G26" s="31"/>
      <c r="H26" s="31"/>
      <c r="I26" s="31"/>
      <c r="J26" s="31"/>
      <c r="K26" s="31"/>
      <c r="L26" s="59"/>
      <c r="M26" s="69"/>
      <c r="N26" s="69"/>
      <c r="O26" s="69"/>
      <c r="P26" s="69"/>
      <c r="Q26" s="69"/>
      <c r="R26" s="69"/>
      <c r="S26" s="69"/>
      <c r="T26" s="69"/>
      <c r="U26" s="69"/>
      <c r="V26" s="69"/>
      <c r="W26" s="69"/>
      <c r="X26" s="96"/>
      <c r="Y26" s="87"/>
      <c r="Z26" s="87"/>
      <c r="AA26" s="98"/>
      <c r="AB26" s="98"/>
      <c r="AC26" s="98"/>
      <c r="AD26" s="98"/>
      <c r="AE26" s="98"/>
      <c r="AF26" s="98"/>
    </row>
    <row r="27" spans="1:41" ht="13.9" customHeight="1">
      <c r="B27" s="10"/>
      <c r="C27" s="10"/>
      <c r="D27" s="10"/>
      <c r="E27" s="10"/>
      <c r="F27" s="10"/>
      <c r="G27" s="10"/>
      <c r="H27" s="10"/>
      <c r="I27" s="10"/>
      <c r="J27" s="50"/>
      <c r="K27" s="50"/>
      <c r="L27" s="60"/>
      <c r="M27" s="70"/>
      <c r="N27" s="70"/>
      <c r="O27" s="70"/>
      <c r="P27" s="70"/>
      <c r="Q27" s="70"/>
      <c r="R27" s="70"/>
      <c r="S27" s="70"/>
      <c r="T27" s="70"/>
      <c r="U27" s="70"/>
      <c r="V27" s="70"/>
      <c r="W27" s="70"/>
      <c r="X27" s="70"/>
      <c r="Y27" s="87"/>
      <c r="Z27" s="87"/>
      <c r="AA27" s="98"/>
      <c r="AB27" s="98"/>
      <c r="AC27" s="98"/>
      <c r="AD27" s="98"/>
      <c r="AE27" s="98"/>
      <c r="AF27" s="98"/>
    </row>
    <row r="28" spans="1:41" s="3" customFormat="1" ht="20.100000000000001" customHeight="1">
      <c r="A28" s="11" t="s">
        <v>155</v>
      </c>
      <c r="B28" s="10"/>
      <c r="C28" s="10"/>
      <c r="D28" s="10"/>
      <c r="E28" s="10"/>
      <c r="F28" s="10"/>
      <c r="G28" s="10"/>
      <c r="H28" s="10"/>
      <c r="I28" s="10"/>
      <c r="J28" s="10"/>
      <c r="K28" s="10"/>
      <c r="L28" s="61"/>
      <c r="M28" s="61"/>
      <c r="N28" s="61"/>
      <c r="O28" s="61"/>
      <c r="P28" s="61"/>
      <c r="Q28" s="61"/>
      <c r="R28" s="61"/>
      <c r="S28" s="61"/>
      <c r="T28" s="61"/>
      <c r="U28" s="61"/>
      <c r="V28" s="61"/>
      <c r="W28" s="61"/>
      <c r="X28" s="61"/>
      <c r="Y28" s="10"/>
      <c r="Z28" s="10"/>
      <c r="AA28" s="1"/>
      <c r="AB28" s="1"/>
      <c r="AC28" s="1"/>
      <c r="AD28" s="1"/>
      <c r="AE28" s="1"/>
      <c r="AF28" s="1"/>
    </row>
    <row r="29" spans="1:41" s="3" customFormat="1" ht="20.100000000000001" customHeight="1">
      <c r="A29" s="5" t="s">
        <v>163</v>
      </c>
      <c r="B29" s="10"/>
      <c r="C29" s="10"/>
      <c r="D29" s="10"/>
      <c r="E29" s="10"/>
      <c r="F29" s="10"/>
      <c r="G29" s="10"/>
      <c r="H29" s="10"/>
      <c r="I29" s="10"/>
      <c r="J29" s="10"/>
      <c r="K29" s="10"/>
      <c r="L29" s="10"/>
      <c r="M29" s="10"/>
      <c r="N29" s="10"/>
      <c r="O29" s="10"/>
      <c r="P29" s="10"/>
      <c r="Q29" s="10"/>
      <c r="R29" s="10"/>
      <c r="S29" s="10"/>
      <c r="T29" s="10"/>
      <c r="U29" s="10"/>
      <c r="V29" s="10"/>
      <c r="W29" s="88"/>
      <c r="X29" s="10"/>
      <c r="Y29" s="10"/>
      <c r="Z29" s="10"/>
      <c r="AA29" s="1"/>
      <c r="AB29" s="1"/>
      <c r="AC29" s="1"/>
      <c r="AD29" s="1"/>
      <c r="AE29" s="1"/>
      <c r="AF29" s="1"/>
    </row>
    <row r="30" spans="1:41" s="3" customFormat="1" ht="107.45" customHeight="1">
      <c r="A30" s="7" t="s">
        <v>158</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45" customHeight="1">
      <c r="A31" s="23" t="s">
        <v>165</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6"/>
      <c r="AG31" s="120" t="str">
        <f>IF(L16="","",IF(AND(W33="✓",W34="✓",W35="✓",W36="✓"),"○","×"))</f>
        <v/>
      </c>
    </row>
    <row r="32" spans="1:41" s="3" customFormat="1" ht="17.45" customHeight="1">
      <c r="A32" s="24" t="s">
        <v>145</v>
      </c>
      <c r="B32" s="37"/>
      <c r="C32" s="37"/>
      <c r="D32" s="37"/>
      <c r="E32" s="37"/>
      <c r="F32" s="37"/>
      <c r="G32" s="37"/>
      <c r="H32" s="37"/>
      <c r="I32" s="37"/>
      <c r="J32" s="37"/>
      <c r="K32" s="37"/>
      <c r="L32" s="37"/>
      <c r="M32" s="37"/>
      <c r="N32" s="37"/>
      <c r="O32" s="37"/>
      <c r="P32" s="37"/>
      <c r="Q32" s="37"/>
      <c r="R32" s="37"/>
      <c r="S32" s="37"/>
      <c r="T32" s="37"/>
      <c r="U32" s="37"/>
      <c r="Y32" s="37"/>
      <c r="Z32" s="37"/>
      <c r="AA32" s="37"/>
      <c r="AB32" s="37"/>
      <c r="AC32" s="37"/>
      <c r="AD32" s="37"/>
      <c r="AE32" s="37"/>
      <c r="AF32" s="37"/>
      <c r="AG32" s="121"/>
    </row>
    <row r="33" spans="1:43" s="3" customFormat="1" ht="18">
      <c r="A33" s="25" t="s">
        <v>140</v>
      </c>
      <c r="B33" s="38"/>
      <c r="C33" s="38"/>
      <c r="D33" s="38"/>
      <c r="E33" s="38"/>
      <c r="F33" s="38"/>
      <c r="G33" s="38"/>
      <c r="H33" s="38"/>
      <c r="I33" s="38"/>
      <c r="J33" s="38"/>
      <c r="K33" s="38"/>
      <c r="L33" s="38"/>
      <c r="M33" s="38"/>
      <c r="N33" s="38"/>
      <c r="O33" s="38"/>
      <c r="P33" s="38"/>
      <c r="Q33" s="38"/>
      <c r="R33" s="38"/>
      <c r="S33" s="81"/>
      <c r="T33" s="82">
        <f>COUNTIF($Z$40:$AB$139,"*介護予防*")</f>
        <v>0</v>
      </c>
      <c r="U33" s="82"/>
      <c r="V33" s="25" t="s">
        <v>35</v>
      </c>
      <c r="W33" s="89"/>
      <c r="Y33" s="24"/>
      <c r="Z33" s="24"/>
      <c r="AA33" s="24"/>
      <c r="AB33" s="24"/>
      <c r="AC33" s="24"/>
      <c r="AD33" s="24"/>
      <c r="AE33" s="24"/>
      <c r="AF33" s="24"/>
      <c r="AG33" s="24"/>
    </row>
    <row r="34" spans="1:43" s="3" customFormat="1" ht="18">
      <c r="A34" s="25" t="s">
        <v>167</v>
      </c>
      <c r="B34" s="38"/>
      <c r="C34" s="38"/>
      <c r="D34" s="38"/>
      <c r="E34" s="38"/>
      <c r="F34" s="38"/>
      <c r="G34" s="38"/>
      <c r="H34" s="38"/>
      <c r="I34" s="38"/>
      <c r="J34" s="38"/>
      <c r="K34" s="38"/>
      <c r="L34" s="38"/>
      <c r="M34" s="38"/>
      <c r="N34" s="38"/>
      <c r="O34" s="38"/>
      <c r="P34" s="38"/>
      <c r="Q34" s="38"/>
      <c r="R34" s="38"/>
      <c r="S34" s="81"/>
      <c r="T34" s="82">
        <f>COUNTIF($Z$40:$AB$139,"*短期利用型*")</f>
        <v>0</v>
      </c>
      <c r="U34" s="82"/>
      <c r="V34" s="25" t="s">
        <v>35</v>
      </c>
      <c r="W34" s="90"/>
      <c r="Y34" s="24"/>
      <c r="Z34" s="24"/>
      <c r="AA34" s="24"/>
      <c r="AB34" s="24"/>
      <c r="AC34" s="24"/>
      <c r="AD34" s="24"/>
      <c r="AE34" s="24"/>
      <c r="AF34" s="24"/>
      <c r="AG34" s="24"/>
    </row>
    <row r="35" spans="1:43" s="3" customFormat="1" ht="18">
      <c r="A35" s="25" t="s">
        <v>168</v>
      </c>
      <c r="B35" s="38"/>
      <c r="C35" s="38"/>
      <c r="D35" s="38"/>
      <c r="E35" s="38"/>
      <c r="F35" s="38"/>
      <c r="G35" s="38"/>
      <c r="H35" s="38"/>
      <c r="I35" s="38"/>
      <c r="J35" s="38"/>
      <c r="K35" s="38"/>
      <c r="L35" s="38"/>
      <c r="M35" s="38"/>
      <c r="N35" s="38"/>
      <c r="O35" s="38"/>
      <c r="P35" s="38"/>
      <c r="Q35" s="38"/>
      <c r="R35" s="38"/>
      <c r="S35" s="81"/>
      <c r="T35" s="82">
        <f>COUNTIF($Z$40:$AB$139,"*独自*")+COUNTIF($Z$40:$AB$139,"介護予防ケアマネジメント")</f>
        <v>0</v>
      </c>
      <c r="U35" s="82"/>
      <c r="V35" s="25" t="s">
        <v>35</v>
      </c>
      <c r="W35" s="90"/>
      <c r="Y35" s="24"/>
      <c r="Z35" s="24"/>
      <c r="AA35" s="24"/>
      <c r="AB35" s="24"/>
      <c r="AC35" s="24"/>
      <c r="AD35" s="24"/>
      <c r="AE35" s="24"/>
      <c r="AF35" s="24"/>
      <c r="AG35" s="24"/>
    </row>
    <row r="36" spans="1:43" s="3" customFormat="1" ht="18.75">
      <c r="A36" s="25" t="s">
        <v>172</v>
      </c>
      <c r="B36" s="38"/>
      <c r="C36" s="38"/>
      <c r="D36" s="38"/>
      <c r="E36" s="38"/>
      <c r="F36" s="38"/>
      <c r="G36" s="38"/>
      <c r="H36" s="38"/>
      <c r="I36" s="38"/>
      <c r="J36" s="38"/>
      <c r="K36" s="38"/>
      <c r="L36" s="38"/>
      <c r="M36" s="38"/>
      <c r="N36" s="38"/>
      <c r="O36" s="38"/>
      <c r="P36" s="38"/>
      <c r="Q36" s="38"/>
      <c r="R36" s="38"/>
      <c r="S36" s="81"/>
      <c r="T36" s="82">
        <f>COUNTIF(AQ40:AR139,"その他")</f>
        <v>0</v>
      </c>
      <c r="U36" s="82"/>
      <c r="V36" s="25" t="s">
        <v>35</v>
      </c>
      <c r="W36" s="91"/>
      <c r="Y36" s="24"/>
      <c r="Z36" s="24"/>
      <c r="AA36" s="24"/>
      <c r="AB36" s="24"/>
      <c r="AC36" s="24"/>
      <c r="AD36" s="24"/>
      <c r="AE36" s="24"/>
      <c r="AF36" s="24"/>
      <c r="AG36" s="24"/>
    </row>
    <row r="37" spans="1:43" s="3" customFormat="1" ht="18">
      <c r="A37" s="26"/>
      <c r="B37" s="26"/>
      <c r="C37" s="26"/>
      <c r="D37" s="26"/>
      <c r="E37" s="26"/>
      <c r="F37" s="26"/>
      <c r="G37" s="26"/>
      <c r="H37" s="26"/>
      <c r="I37" s="26"/>
      <c r="J37" s="26"/>
      <c r="K37" s="26"/>
      <c r="L37" s="26"/>
      <c r="M37" s="26"/>
      <c r="N37" s="26"/>
      <c r="O37" s="26"/>
      <c r="P37" s="26"/>
      <c r="Q37" s="26"/>
      <c r="R37" s="26"/>
      <c r="S37" s="26"/>
      <c r="T37" s="26"/>
      <c r="U37" s="26"/>
      <c r="V37" s="26"/>
      <c r="Y37" s="24"/>
      <c r="Z37" s="24"/>
      <c r="AA37" s="24"/>
      <c r="AB37" s="24"/>
      <c r="AC37" s="24"/>
      <c r="AD37" s="24"/>
      <c r="AE37" s="24"/>
      <c r="AF37" s="24"/>
      <c r="AG37" s="24"/>
    </row>
    <row r="38" spans="1:43" s="3" customFormat="1" ht="25.9" customHeight="1">
      <c r="A38" s="27" t="s">
        <v>150</v>
      </c>
      <c r="B38" s="39" t="s">
        <v>176</v>
      </c>
      <c r="C38" s="45"/>
      <c r="D38" s="45"/>
      <c r="E38" s="45"/>
      <c r="F38" s="45"/>
      <c r="G38" s="45"/>
      <c r="H38" s="45"/>
      <c r="I38" s="45"/>
      <c r="J38" s="45"/>
      <c r="K38" s="52"/>
      <c r="L38" s="39" t="s">
        <v>178</v>
      </c>
      <c r="M38" s="45"/>
      <c r="N38" s="45"/>
      <c r="O38" s="45"/>
      <c r="P38" s="52"/>
      <c r="Q38" s="74" t="s">
        <v>29</v>
      </c>
      <c r="R38" s="80"/>
      <c r="S38" s="80"/>
      <c r="T38" s="80"/>
      <c r="U38" s="80"/>
      <c r="V38" s="85"/>
      <c r="W38" s="92" t="s">
        <v>185</v>
      </c>
      <c r="X38" s="92"/>
      <c r="Y38" s="92"/>
      <c r="Z38" s="92" t="s">
        <v>131</v>
      </c>
      <c r="AA38" s="92"/>
      <c r="AB38" s="92"/>
      <c r="AC38" s="102" t="s">
        <v>188</v>
      </c>
      <c r="AD38" s="75" t="s">
        <v>4</v>
      </c>
      <c r="AE38" s="109" t="s">
        <v>102</v>
      </c>
      <c r="AF38" s="117" t="s">
        <v>88</v>
      </c>
      <c r="AG38" s="52" t="s">
        <v>45</v>
      </c>
      <c r="AH38" s="44"/>
      <c r="AI38" s="44"/>
      <c r="AJ38" s="44"/>
      <c r="AK38" s="44"/>
      <c r="AL38" s="44"/>
      <c r="AM38" s="44"/>
      <c r="AN38" s="44"/>
    </row>
    <row r="39" spans="1:43" s="3" customFormat="1" ht="47.45" customHeight="1">
      <c r="A39" s="28"/>
      <c r="B39" s="40"/>
      <c r="C39" s="46"/>
      <c r="D39" s="46"/>
      <c r="E39" s="46"/>
      <c r="F39" s="46"/>
      <c r="G39" s="46"/>
      <c r="H39" s="46"/>
      <c r="I39" s="46"/>
      <c r="J39" s="46"/>
      <c r="K39" s="53"/>
      <c r="L39" s="40"/>
      <c r="M39" s="46"/>
      <c r="N39" s="46"/>
      <c r="O39" s="46"/>
      <c r="P39" s="53"/>
      <c r="Q39" s="75" t="s">
        <v>68</v>
      </c>
      <c r="R39" s="15"/>
      <c r="S39" s="15"/>
      <c r="T39" s="15"/>
      <c r="U39" s="15"/>
      <c r="V39" s="86" t="s">
        <v>17</v>
      </c>
      <c r="W39" s="75"/>
      <c r="X39" s="75"/>
      <c r="Y39" s="75"/>
      <c r="Z39" s="75"/>
      <c r="AA39" s="75"/>
      <c r="AB39" s="75"/>
      <c r="AC39" s="103"/>
      <c r="AD39" s="86"/>
      <c r="AE39" s="110"/>
      <c r="AF39" s="118"/>
      <c r="AG39" s="53"/>
      <c r="AH39" s="44"/>
      <c r="AI39" s="44"/>
      <c r="AJ39" s="44"/>
      <c r="AK39" s="44"/>
      <c r="AL39" s="44"/>
      <c r="AM39" s="44"/>
      <c r="AN39" s="44"/>
    </row>
    <row r="40" spans="1:43" ht="45" customHeight="1">
      <c r="A40" s="29">
        <v>1</v>
      </c>
      <c r="B40" s="41"/>
      <c r="C40" s="47"/>
      <c r="D40" s="47"/>
      <c r="E40" s="47"/>
      <c r="F40" s="47"/>
      <c r="G40" s="47"/>
      <c r="H40" s="47"/>
      <c r="I40" s="47"/>
      <c r="J40" s="47"/>
      <c r="K40" s="47"/>
      <c r="L40" s="62"/>
      <c r="M40" s="62"/>
      <c r="N40" s="62"/>
      <c r="O40" s="62"/>
      <c r="P40" s="62"/>
      <c r="Q40" s="76"/>
      <c r="R40" s="76"/>
      <c r="S40" s="76"/>
      <c r="T40" s="76"/>
      <c r="U40" s="76"/>
      <c r="V40" s="62"/>
      <c r="W40" s="93"/>
      <c r="X40" s="93"/>
      <c r="Y40" s="93"/>
      <c r="Z40" s="97"/>
      <c r="AA40" s="99"/>
      <c r="AB40" s="101"/>
      <c r="AC40" s="104" t="str">
        <f>IFERROR(VLOOKUP(Z40,'【参考】数式用'!$A$4:$B$57,2,FALSE),"")</f>
        <v/>
      </c>
      <c r="AD40" s="106"/>
      <c r="AE40" s="111"/>
      <c r="AF40" s="119">
        <f t="shared" ref="AF40:AF103" si="0">AD40-AE40</f>
        <v>0</v>
      </c>
      <c r="AG40" s="122" t="str">
        <f>IF(B40="","",IF(AQ40="総合事業","数式を削除して手入力",IFERROR(INDEX('【参考】数式用'!$AD$3:$AF$452,MATCH(Q40&amp;V40,'【参考】数式用'!$AC$3:$AC$452,0),MATCH(VLOOKUP(Z40,'【参考】数式用'!$AG$2:$AH$56,2,FALSE),'【参考】数式用'!$AD$2:$AF$2,0)),10)))</f>
        <v/>
      </c>
      <c r="AH40" s="124"/>
      <c r="AI40" s="124"/>
      <c r="AJ40" s="124"/>
      <c r="AK40" s="124"/>
      <c r="AL40" s="124"/>
      <c r="AM40" s="124"/>
      <c r="AN40" s="124"/>
      <c r="AP40" s="127" t="str">
        <f>IF($L$16="","",VLOOKUP(Z40,'【参考】数式用'!$A$2:$O$57,14,FALSE))</f>
        <v/>
      </c>
      <c r="AQ40" s="126" t="e">
        <f>VLOOKUP(Z40,'【参考】数式用'!$A$2:$O$57,15,FALSE)</f>
        <v>#N/A</v>
      </c>
    </row>
    <row r="41" spans="1:43" ht="45" customHeight="1">
      <c r="A41" s="29">
        <f t="shared" ref="A41:A104" si="1">A40+1</f>
        <v>2</v>
      </c>
      <c r="B41" s="42"/>
      <c r="C41" s="48"/>
      <c r="D41" s="48"/>
      <c r="E41" s="48"/>
      <c r="F41" s="48"/>
      <c r="G41" s="48"/>
      <c r="H41" s="48"/>
      <c r="I41" s="48"/>
      <c r="J41" s="48"/>
      <c r="K41" s="48"/>
      <c r="L41" s="63"/>
      <c r="M41" s="63"/>
      <c r="N41" s="63"/>
      <c r="O41" s="63"/>
      <c r="P41" s="63"/>
      <c r="Q41" s="77"/>
      <c r="R41" s="77"/>
      <c r="S41" s="77"/>
      <c r="T41" s="77"/>
      <c r="U41" s="77"/>
      <c r="V41" s="63"/>
      <c r="W41" s="94"/>
      <c r="X41" s="94"/>
      <c r="Y41" s="94"/>
      <c r="Z41" s="94"/>
      <c r="AA41" s="94"/>
      <c r="AB41" s="94"/>
      <c r="AC41" s="105" t="str">
        <f>IFERROR(VLOOKUP(Z41,'【参考】数式用'!$A$4:$B$57,2,FALSE),"")</f>
        <v/>
      </c>
      <c r="AD41" s="107"/>
      <c r="AE41" s="112"/>
      <c r="AF41" s="119">
        <f t="shared" si="0"/>
        <v>0</v>
      </c>
      <c r="AG41" s="122" t="str">
        <f>IF(B41="","",IF(AQ41="総合事業","数式を削除して手入力",IFERROR(INDEX('【参考】数式用'!$AD$3:$AF$452,MATCH(Q41&amp;V41,'【参考】数式用'!$AC$3:$AC$452,0),MATCH(VLOOKUP(Z41,'【参考】数式用'!$AG$2:$AH$56,2,FALSE),'【参考】数式用'!$AD$2:$AF$2,0)),10)))</f>
        <v/>
      </c>
      <c r="AP41" s="127" t="str">
        <f>IF($L$16="","",VLOOKUP(Z41,'【参考】数式用'!$A$2:$O$57,14,FALSE))</f>
        <v/>
      </c>
      <c r="AQ41" s="126" t="e">
        <f>VLOOKUP(Z41,'【参考】数式用'!$A$2:$O$57,15,FALSE)</f>
        <v>#N/A</v>
      </c>
    </row>
    <row r="42" spans="1:43" ht="49.9" customHeight="1">
      <c r="A42" s="29">
        <f t="shared" si="1"/>
        <v>3</v>
      </c>
      <c r="B42" s="42"/>
      <c r="C42" s="48"/>
      <c r="D42" s="48"/>
      <c r="E42" s="48"/>
      <c r="F42" s="48"/>
      <c r="G42" s="48"/>
      <c r="H42" s="48"/>
      <c r="I42" s="48"/>
      <c r="J42" s="48"/>
      <c r="K42" s="48"/>
      <c r="L42" s="63"/>
      <c r="M42" s="63"/>
      <c r="N42" s="63"/>
      <c r="O42" s="63"/>
      <c r="P42" s="63"/>
      <c r="Q42" s="77"/>
      <c r="R42" s="77"/>
      <c r="S42" s="77"/>
      <c r="T42" s="77"/>
      <c r="U42" s="77"/>
      <c r="V42" s="63"/>
      <c r="W42" s="94"/>
      <c r="X42" s="94"/>
      <c r="Y42" s="94"/>
      <c r="Z42" s="94"/>
      <c r="AA42" s="94"/>
      <c r="AB42" s="94"/>
      <c r="AC42" s="105" t="str">
        <f>IFERROR(VLOOKUP(Z42,'【参考】数式用'!$A$4:$B$57,2,FALSE),"")</f>
        <v/>
      </c>
      <c r="AD42" s="107"/>
      <c r="AE42" s="112"/>
      <c r="AF42" s="119">
        <f t="shared" si="0"/>
        <v>0</v>
      </c>
      <c r="AG42" s="122" t="str">
        <f>IF(B42="","",IF(AQ42="総合事業","数式を削除して手入力",IFERROR(INDEX('【参考】数式用'!$AD$3:$AF$452,MATCH(Q42&amp;V42,'【参考】数式用'!$AC$3:$AC$452,0),MATCH(VLOOKUP(Z42,'【参考】数式用'!$AG$2:$AH$56,2,FALSE),'【参考】数式用'!$AD$2:$AF$2,0)),10)))</f>
        <v/>
      </c>
      <c r="AP42" s="127" t="str">
        <f>IF($L$16="","",VLOOKUP(Z42,'【参考】数式用'!$A$2:$O$57,14,FALSE))</f>
        <v/>
      </c>
      <c r="AQ42" s="126" t="e">
        <f>VLOOKUP(Z42,'【参考】数式用'!$A$2:$O$57,15,FALSE)</f>
        <v>#N/A</v>
      </c>
    </row>
    <row r="43" spans="1:43" ht="49.9" customHeight="1">
      <c r="A43" s="29">
        <f t="shared" si="1"/>
        <v>4</v>
      </c>
      <c r="B43" s="42"/>
      <c r="C43" s="48"/>
      <c r="D43" s="48"/>
      <c r="E43" s="48"/>
      <c r="F43" s="48"/>
      <c r="G43" s="48"/>
      <c r="H43" s="48"/>
      <c r="I43" s="48"/>
      <c r="J43" s="48"/>
      <c r="K43" s="48"/>
      <c r="L43" s="63"/>
      <c r="M43" s="63"/>
      <c r="N43" s="63"/>
      <c r="O43" s="63"/>
      <c r="P43" s="63"/>
      <c r="Q43" s="77"/>
      <c r="R43" s="77"/>
      <c r="S43" s="77"/>
      <c r="T43" s="77"/>
      <c r="U43" s="77"/>
      <c r="V43" s="63"/>
      <c r="W43" s="94"/>
      <c r="X43" s="94"/>
      <c r="Y43" s="94"/>
      <c r="Z43" s="94"/>
      <c r="AA43" s="94"/>
      <c r="AB43" s="94"/>
      <c r="AC43" s="105" t="str">
        <f>IFERROR(VLOOKUP(Z43,'【参考】数式用'!$A$4:$B$57,2,FALSE),"")</f>
        <v/>
      </c>
      <c r="AD43" s="107"/>
      <c r="AE43" s="112"/>
      <c r="AF43" s="119">
        <f t="shared" si="0"/>
        <v>0</v>
      </c>
      <c r="AG43" s="122" t="str">
        <f>IF(B43="","",IF(AQ43="総合事業","数式を削除して手入力",IFERROR(INDEX('【参考】数式用'!$AD$3:$AF$452,MATCH(Q43&amp;V43,'【参考】数式用'!$AC$3:$AC$452,0),MATCH(VLOOKUP(Z43,'【参考】数式用'!$AG$2:$AH$56,2,FALSE),'【参考】数式用'!$AD$2:$AF$2,0)),10)))</f>
        <v/>
      </c>
      <c r="AP43" s="127" t="str">
        <f>IF($L$16="","",VLOOKUP(Z43,'【参考】数式用'!$A$2:$O$57,14,FALSE))</f>
        <v/>
      </c>
      <c r="AQ43" s="126" t="e">
        <f>VLOOKUP(Z43,'【参考】数式用'!$A$2:$O$57,15,FALSE)</f>
        <v>#N/A</v>
      </c>
    </row>
    <row r="44" spans="1:43" ht="49.9" customHeight="1">
      <c r="A44" s="29">
        <f t="shared" si="1"/>
        <v>5</v>
      </c>
      <c r="B44" s="42"/>
      <c r="C44" s="48"/>
      <c r="D44" s="48"/>
      <c r="E44" s="48"/>
      <c r="F44" s="48"/>
      <c r="G44" s="48"/>
      <c r="H44" s="48"/>
      <c r="I44" s="48"/>
      <c r="J44" s="48"/>
      <c r="K44" s="48"/>
      <c r="L44" s="63"/>
      <c r="M44" s="63"/>
      <c r="N44" s="63"/>
      <c r="O44" s="63"/>
      <c r="P44" s="63"/>
      <c r="Q44" s="77"/>
      <c r="R44" s="77"/>
      <c r="S44" s="77"/>
      <c r="T44" s="77"/>
      <c r="U44" s="77"/>
      <c r="V44" s="63"/>
      <c r="W44" s="94"/>
      <c r="X44" s="94"/>
      <c r="Y44" s="94"/>
      <c r="Z44" s="94"/>
      <c r="AA44" s="94"/>
      <c r="AB44" s="94"/>
      <c r="AC44" s="105" t="str">
        <f>IFERROR(VLOOKUP(Z44,'【参考】数式用'!$A$4:$B$57,2,FALSE),"")</f>
        <v/>
      </c>
      <c r="AD44" s="107"/>
      <c r="AE44" s="112"/>
      <c r="AF44" s="119">
        <f t="shared" si="0"/>
        <v>0</v>
      </c>
      <c r="AG44" s="122" t="str">
        <f>IF(B44="","",IF(AQ44="総合事業","数式を削除して手入力",IFERROR(INDEX('【参考】数式用'!$AD$3:$AF$452,MATCH(Q44&amp;V44,'【参考】数式用'!$AC$3:$AC$452,0),MATCH(VLOOKUP(Z44,'【参考】数式用'!$AG$2:$AH$56,2,FALSE),'【参考】数式用'!$AD$2:$AF$2,0)),10)))</f>
        <v/>
      </c>
      <c r="AP44" s="127" t="str">
        <f>IF($L$16="","",VLOOKUP(Z44,'【参考】数式用'!$A$2:$O$57,14,FALSE))</f>
        <v/>
      </c>
      <c r="AQ44" s="126" t="e">
        <f>VLOOKUP(Z44,'【参考】数式用'!$A$2:$O$57,15,FALSE)</f>
        <v>#N/A</v>
      </c>
    </row>
    <row r="45" spans="1:43" ht="49.9" customHeight="1">
      <c r="A45" s="29">
        <f t="shared" si="1"/>
        <v>6</v>
      </c>
      <c r="B45" s="42"/>
      <c r="C45" s="48"/>
      <c r="D45" s="48"/>
      <c r="E45" s="48"/>
      <c r="F45" s="48"/>
      <c r="G45" s="48"/>
      <c r="H45" s="48"/>
      <c r="I45" s="48"/>
      <c r="J45" s="48"/>
      <c r="K45" s="48"/>
      <c r="L45" s="63"/>
      <c r="M45" s="63"/>
      <c r="N45" s="63"/>
      <c r="O45" s="63"/>
      <c r="P45" s="63"/>
      <c r="Q45" s="77"/>
      <c r="R45" s="77"/>
      <c r="S45" s="77"/>
      <c r="T45" s="77"/>
      <c r="U45" s="77"/>
      <c r="V45" s="63"/>
      <c r="W45" s="94"/>
      <c r="X45" s="94"/>
      <c r="Y45" s="94"/>
      <c r="Z45" s="94"/>
      <c r="AA45" s="94"/>
      <c r="AB45" s="94"/>
      <c r="AC45" s="105" t="str">
        <f>IFERROR(VLOOKUP(Z45,'【参考】数式用'!$A$4:$B$57,2,FALSE),"")</f>
        <v/>
      </c>
      <c r="AD45" s="107"/>
      <c r="AE45" s="112"/>
      <c r="AF45" s="119">
        <f t="shared" si="0"/>
        <v>0</v>
      </c>
      <c r="AG45" s="122" t="str">
        <f>IF(B45="","",IF(AQ45="総合事業","数式を削除して手入力",IFERROR(INDEX('【参考】数式用'!$AD$3:$AF$452,MATCH(Q45&amp;V45,'【参考】数式用'!$AC$3:$AC$452,0),MATCH(VLOOKUP(Z45,'【参考】数式用'!$AG$2:$AH$56,2,FALSE),'【参考】数式用'!$AD$2:$AF$2,0)),10)))</f>
        <v/>
      </c>
      <c r="AP45" s="127" t="str">
        <f>IF($L$16="","",VLOOKUP(Z45,'【参考】数式用'!$A$2:$O$57,14,FALSE))</f>
        <v/>
      </c>
      <c r="AQ45" s="126" t="e">
        <f>VLOOKUP(Z45,'【参考】数式用'!$A$2:$O$57,15,FALSE)</f>
        <v>#N/A</v>
      </c>
    </row>
    <row r="46" spans="1:43" ht="49.9" customHeight="1">
      <c r="A46" s="29">
        <f t="shared" si="1"/>
        <v>7</v>
      </c>
      <c r="B46" s="42"/>
      <c r="C46" s="48"/>
      <c r="D46" s="48"/>
      <c r="E46" s="48"/>
      <c r="F46" s="48"/>
      <c r="G46" s="48"/>
      <c r="H46" s="48"/>
      <c r="I46" s="48"/>
      <c r="J46" s="48"/>
      <c r="K46" s="48"/>
      <c r="L46" s="63"/>
      <c r="M46" s="63"/>
      <c r="N46" s="63"/>
      <c r="O46" s="63"/>
      <c r="P46" s="63"/>
      <c r="Q46" s="77"/>
      <c r="R46" s="77"/>
      <c r="S46" s="77"/>
      <c r="T46" s="77"/>
      <c r="U46" s="77"/>
      <c r="V46" s="63"/>
      <c r="W46" s="94"/>
      <c r="X46" s="94"/>
      <c r="Y46" s="94"/>
      <c r="Z46" s="94"/>
      <c r="AA46" s="94"/>
      <c r="AB46" s="94"/>
      <c r="AC46" s="105" t="str">
        <f>IFERROR(VLOOKUP(Z46,'【参考】数式用'!$A$4:$B$57,2,FALSE),"")</f>
        <v/>
      </c>
      <c r="AD46" s="108"/>
      <c r="AE46" s="113"/>
      <c r="AF46" s="119">
        <f t="shared" si="0"/>
        <v>0</v>
      </c>
      <c r="AG46" s="122" t="str">
        <f>IF(B46="","",IF(AQ46="総合事業","数式を削除して手入力",IFERROR(INDEX('【参考】数式用'!$AD$3:$AF$452,MATCH(Q46&amp;V46,'【参考】数式用'!$AC$3:$AC$452,0),MATCH(VLOOKUP(Z46,'【参考】数式用'!$AG$2:$AH$56,2,FALSE),'【参考】数式用'!$AD$2:$AF$2,0)),10)))</f>
        <v/>
      </c>
      <c r="AP46" s="127" t="str">
        <f>IF($L$16="","",VLOOKUP(Z46,'【参考】数式用'!$A$2:$O$57,14,FALSE))</f>
        <v/>
      </c>
      <c r="AQ46" s="126" t="e">
        <f>VLOOKUP(Z46,'【参考】数式用'!$A$2:$O$57,15,FALSE)</f>
        <v>#N/A</v>
      </c>
    </row>
    <row r="47" spans="1:43" ht="49.9" customHeight="1">
      <c r="A47" s="29">
        <f t="shared" si="1"/>
        <v>8</v>
      </c>
      <c r="B47" s="42"/>
      <c r="C47" s="48"/>
      <c r="D47" s="48"/>
      <c r="E47" s="48"/>
      <c r="F47" s="48"/>
      <c r="G47" s="48"/>
      <c r="H47" s="48"/>
      <c r="I47" s="48"/>
      <c r="J47" s="48"/>
      <c r="K47" s="48"/>
      <c r="L47" s="63"/>
      <c r="M47" s="63"/>
      <c r="N47" s="63"/>
      <c r="O47" s="63"/>
      <c r="P47" s="63"/>
      <c r="Q47" s="77"/>
      <c r="R47" s="77"/>
      <c r="S47" s="77"/>
      <c r="T47" s="77"/>
      <c r="U47" s="77"/>
      <c r="V47" s="63"/>
      <c r="W47" s="94"/>
      <c r="X47" s="94"/>
      <c r="Y47" s="94"/>
      <c r="Z47" s="94"/>
      <c r="AA47" s="94"/>
      <c r="AB47" s="94"/>
      <c r="AC47" s="105" t="str">
        <f>IFERROR(VLOOKUP(Z47,'【参考】数式用'!$A$4:$B$57,2,FALSE),"")</f>
        <v/>
      </c>
      <c r="AD47" s="108"/>
      <c r="AE47" s="113"/>
      <c r="AF47" s="119">
        <f t="shared" si="0"/>
        <v>0</v>
      </c>
      <c r="AG47" s="122" t="str">
        <f>IF(B47="","",IF(AQ47="総合事業","数式を削除して手入力",IFERROR(INDEX('【参考】数式用'!$AD$3:$AF$452,MATCH(Q47&amp;V47,'【参考】数式用'!$AC$3:$AC$452,0),MATCH(VLOOKUP(Z47,'【参考】数式用'!$AG$2:$AH$56,2,FALSE),'【参考】数式用'!$AD$2:$AF$2,0)),10)))</f>
        <v/>
      </c>
      <c r="AP47" s="127" t="str">
        <f>IF($L$16="","",VLOOKUP(Z47,'【参考】数式用'!$A$2:$O$57,14,FALSE))</f>
        <v/>
      </c>
      <c r="AQ47" s="126" t="e">
        <f>VLOOKUP(Z47,'【参考】数式用'!$A$2:$O$57,15,FALSE)</f>
        <v>#N/A</v>
      </c>
    </row>
    <row r="48" spans="1:43" ht="49.9" customHeight="1">
      <c r="A48" s="29">
        <f t="shared" si="1"/>
        <v>9</v>
      </c>
      <c r="B48" s="42"/>
      <c r="C48" s="48"/>
      <c r="D48" s="48"/>
      <c r="E48" s="48"/>
      <c r="F48" s="48"/>
      <c r="G48" s="48"/>
      <c r="H48" s="48"/>
      <c r="I48" s="48"/>
      <c r="J48" s="48"/>
      <c r="K48" s="48"/>
      <c r="L48" s="63"/>
      <c r="M48" s="63"/>
      <c r="N48" s="63"/>
      <c r="O48" s="63"/>
      <c r="P48" s="63"/>
      <c r="Q48" s="77"/>
      <c r="R48" s="77"/>
      <c r="S48" s="77"/>
      <c r="T48" s="77"/>
      <c r="U48" s="77"/>
      <c r="V48" s="63"/>
      <c r="W48" s="94"/>
      <c r="X48" s="94"/>
      <c r="Y48" s="94"/>
      <c r="Z48" s="94"/>
      <c r="AA48" s="94"/>
      <c r="AB48" s="94"/>
      <c r="AC48" s="105" t="str">
        <f>IFERROR(VLOOKUP(Z48,'【参考】数式用'!$A$4:$B$57,2,FALSE),"")</f>
        <v/>
      </c>
      <c r="AD48" s="108"/>
      <c r="AE48" s="113"/>
      <c r="AF48" s="119">
        <f t="shared" si="0"/>
        <v>0</v>
      </c>
      <c r="AG48" s="122" t="str">
        <f>IF(B48="","",IF(AQ48="総合事業","数式を削除して手入力",IFERROR(INDEX('【参考】数式用'!$AD$3:$AF$452,MATCH(Q48&amp;V48,'【参考】数式用'!$AC$3:$AC$452,0),MATCH(VLOOKUP(Z48,'【参考】数式用'!$AG$2:$AH$56,2,FALSE),'【参考】数式用'!$AD$2:$AF$2,0)),10)))</f>
        <v/>
      </c>
      <c r="AP48" s="127" t="str">
        <f>IF($L$16="","",VLOOKUP(Z48,'【参考】数式用'!$A$2:$O$57,14,FALSE))</f>
        <v/>
      </c>
      <c r="AQ48" s="126" t="e">
        <f>VLOOKUP(Z48,'【参考】数式用'!$A$2:$O$57,15,FALSE)</f>
        <v>#N/A</v>
      </c>
    </row>
    <row r="49" spans="1:43" ht="49.9" customHeight="1">
      <c r="A49" s="29">
        <f t="shared" si="1"/>
        <v>10</v>
      </c>
      <c r="B49" s="42"/>
      <c r="C49" s="48"/>
      <c r="D49" s="48"/>
      <c r="E49" s="48"/>
      <c r="F49" s="48"/>
      <c r="G49" s="48"/>
      <c r="H49" s="48"/>
      <c r="I49" s="48"/>
      <c r="J49" s="48"/>
      <c r="K49" s="48"/>
      <c r="L49" s="63"/>
      <c r="M49" s="63"/>
      <c r="N49" s="63"/>
      <c r="O49" s="63"/>
      <c r="P49" s="63"/>
      <c r="Q49" s="77"/>
      <c r="R49" s="77"/>
      <c r="S49" s="77"/>
      <c r="T49" s="77"/>
      <c r="U49" s="77"/>
      <c r="V49" s="63"/>
      <c r="W49" s="94"/>
      <c r="X49" s="94"/>
      <c r="Y49" s="94"/>
      <c r="Z49" s="94"/>
      <c r="AA49" s="94"/>
      <c r="AB49" s="94"/>
      <c r="AC49" s="105" t="str">
        <f>IFERROR(VLOOKUP(Z49,'【参考】数式用'!$A$4:$B$57,2,FALSE),"")</f>
        <v/>
      </c>
      <c r="AD49" s="108"/>
      <c r="AE49" s="113"/>
      <c r="AF49" s="119">
        <f t="shared" si="0"/>
        <v>0</v>
      </c>
      <c r="AG49" s="122" t="str">
        <f>IF(B49="","",IF(AQ49="総合事業","数式を削除して手入力",IFERROR(INDEX('【参考】数式用'!$AD$3:$AF$452,MATCH(Q49&amp;V49,'【参考】数式用'!$AC$3:$AC$452,0),MATCH(VLOOKUP(Z49,'【参考】数式用'!$AG$2:$AH$56,2,FALSE),'【参考】数式用'!$AD$2:$AF$2,0)),10)))</f>
        <v/>
      </c>
      <c r="AP49" s="127" t="str">
        <f>IF($L$16="","",VLOOKUP(Z49,'【参考】数式用'!$A$2:$O$57,14,FALSE))</f>
        <v/>
      </c>
      <c r="AQ49" s="126" t="e">
        <f>VLOOKUP(Z49,'【参考】数式用'!$A$2:$O$57,15,FALSE)</f>
        <v>#N/A</v>
      </c>
    </row>
    <row r="50" spans="1:43" ht="49.9" customHeight="1">
      <c r="A50" s="29">
        <f t="shared" si="1"/>
        <v>11</v>
      </c>
      <c r="B50" s="42"/>
      <c r="C50" s="48"/>
      <c r="D50" s="48"/>
      <c r="E50" s="48"/>
      <c r="F50" s="48"/>
      <c r="G50" s="48"/>
      <c r="H50" s="48"/>
      <c r="I50" s="48"/>
      <c r="J50" s="48"/>
      <c r="K50" s="48"/>
      <c r="L50" s="63"/>
      <c r="M50" s="63"/>
      <c r="N50" s="63"/>
      <c r="O50" s="63"/>
      <c r="P50" s="63"/>
      <c r="Q50" s="77"/>
      <c r="R50" s="77"/>
      <c r="S50" s="77"/>
      <c r="T50" s="77"/>
      <c r="U50" s="77"/>
      <c r="V50" s="63"/>
      <c r="W50" s="94"/>
      <c r="X50" s="94"/>
      <c r="Y50" s="94"/>
      <c r="Z50" s="94"/>
      <c r="AA50" s="94"/>
      <c r="AB50" s="94"/>
      <c r="AC50" s="105" t="str">
        <f>IFERROR(VLOOKUP(Z50,'【参考】数式用'!$A$4:$B$57,2,FALSE),"")</f>
        <v/>
      </c>
      <c r="AD50" s="108"/>
      <c r="AE50" s="113"/>
      <c r="AF50" s="119">
        <f t="shared" si="0"/>
        <v>0</v>
      </c>
      <c r="AG50" s="122" t="str">
        <f>IF(B50="","",IF(AQ50="総合事業","数式を削除して手入力",IFERROR(INDEX('【参考】数式用'!$AD$3:$AF$452,MATCH(Q50&amp;V50,'【参考】数式用'!$AC$3:$AC$452,0),MATCH(VLOOKUP(Z50,'【参考】数式用'!$AG$2:$AH$56,2,FALSE),'【参考】数式用'!$AD$2:$AF$2,0)),10)))</f>
        <v/>
      </c>
      <c r="AP50" s="127" t="str">
        <f>IF($L$16="","",VLOOKUP(Z50,'【参考】数式用'!$A$2:$O$57,14,FALSE))</f>
        <v/>
      </c>
      <c r="AQ50" s="126" t="e">
        <f>VLOOKUP(Z50,'【参考】数式用'!$A$2:$O$57,15,FALSE)</f>
        <v>#N/A</v>
      </c>
    </row>
    <row r="51" spans="1:43" ht="49.9" customHeight="1">
      <c r="A51" s="29">
        <f t="shared" si="1"/>
        <v>12</v>
      </c>
      <c r="B51" s="42"/>
      <c r="C51" s="48"/>
      <c r="D51" s="48"/>
      <c r="E51" s="48"/>
      <c r="F51" s="48"/>
      <c r="G51" s="48"/>
      <c r="H51" s="48"/>
      <c r="I51" s="48"/>
      <c r="J51" s="48"/>
      <c r="K51" s="48"/>
      <c r="L51" s="63"/>
      <c r="M51" s="63"/>
      <c r="N51" s="63"/>
      <c r="O51" s="63"/>
      <c r="P51" s="63"/>
      <c r="Q51" s="77"/>
      <c r="R51" s="77"/>
      <c r="S51" s="77"/>
      <c r="T51" s="77"/>
      <c r="U51" s="77"/>
      <c r="V51" s="63"/>
      <c r="W51" s="94"/>
      <c r="X51" s="94"/>
      <c r="Y51" s="94"/>
      <c r="Z51" s="94"/>
      <c r="AA51" s="94"/>
      <c r="AB51" s="94"/>
      <c r="AC51" s="105" t="str">
        <f>IFERROR(VLOOKUP(Z51,'【参考】数式用'!$A$4:$B$57,2,FALSE),"")</f>
        <v/>
      </c>
      <c r="AD51" s="108"/>
      <c r="AE51" s="113"/>
      <c r="AF51" s="119">
        <f t="shared" si="0"/>
        <v>0</v>
      </c>
      <c r="AG51" s="122" t="str">
        <f>IF(B51="","",IF(AQ51="総合事業","数式を削除して手入力",IFERROR(INDEX('【参考】数式用'!$AD$3:$AF$452,MATCH(Q51&amp;V51,'【参考】数式用'!$AC$3:$AC$452,0),MATCH(VLOOKUP(Z51,'【参考】数式用'!$AG$2:$AH$56,2,FALSE),'【参考】数式用'!$AD$2:$AF$2,0)),10)))</f>
        <v/>
      </c>
      <c r="AP51" s="127" t="str">
        <f>IF($L$16="","",VLOOKUP(Z51,'【参考】数式用'!$A$2:$O$57,14,FALSE))</f>
        <v/>
      </c>
      <c r="AQ51" s="126" t="e">
        <f>VLOOKUP(Z51,'【参考】数式用'!$A$2:$O$57,15,FALSE)</f>
        <v>#N/A</v>
      </c>
    </row>
    <row r="52" spans="1:43" ht="49.9" customHeight="1">
      <c r="A52" s="29">
        <f t="shared" si="1"/>
        <v>13</v>
      </c>
      <c r="B52" s="42"/>
      <c r="C52" s="48"/>
      <c r="D52" s="48"/>
      <c r="E52" s="48"/>
      <c r="F52" s="48"/>
      <c r="G52" s="48"/>
      <c r="H52" s="48"/>
      <c r="I52" s="48"/>
      <c r="J52" s="48"/>
      <c r="K52" s="48"/>
      <c r="L52" s="63"/>
      <c r="M52" s="63"/>
      <c r="N52" s="63"/>
      <c r="O52" s="63"/>
      <c r="P52" s="63"/>
      <c r="Q52" s="77"/>
      <c r="R52" s="77"/>
      <c r="S52" s="77"/>
      <c r="T52" s="77"/>
      <c r="U52" s="77"/>
      <c r="V52" s="63"/>
      <c r="W52" s="94"/>
      <c r="X52" s="94"/>
      <c r="Y52" s="94"/>
      <c r="Z52" s="94"/>
      <c r="AA52" s="94"/>
      <c r="AB52" s="94"/>
      <c r="AC52" s="105" t="str">
        <f>IFERROR(VLOOKUP(Z52,'【参考】数式用'!$A$4:$B$57,2,FALSE),"")</f>
        <v/>
      </c>
      <c r="AD52" s="108"/>
      <c r="AE52" s="113"/>
      <c r="AF52" s="119">
        <f t="shared" si="0"/>
        <v>0</v>
      </c>
      <c r="AG52" s="122" t="str">
        <f>IF(B52="","",IF(AQ52="総合事業","数式を削除して手入力",IFERROR(INDEX('【参考】数式用'!$AD$3:$AF$452,MATCH(Q52&amp;V52,'【参考】数式用'!$AC$3:$AC$452,0),MATCH(VLOOKUP(Z52,'【参考】数式用'!$AG$2:$AH$56,2,FALSE),'【参考】数式用'!$AD$2:$AF$2,0)),10)))</f>
        <v/>
      </c>
      <c r="AP52" s="127" t="str">
        <f>IF($L$16="","",VLOOKUP(Z52,'【参考】数式用'!$A$2:$O$57,14,FALSE))</f>
        <v/>
      </c>
      <c r="AQ52" s="126" t="e">
        <f>VLOOKUP(Z52,'【参考】数式用'!$A$2:$O$57,15,FALSE)</f>
        <v>#N/A</v>
      </c>
    </row>
    <row r="53" spans="1:43" ht="49.9" customHeight="1">
      <c r="A53" s="29">
        <f t="shared" si="1"/>
        <v>14</v>
      </c>
      <c r="B53" s="42"/>
      <c r="C53" s="48"/>
      <c r="D53" s="48"/>
      <c r="E53" s="48"/>
      <c r="F53" s="48"/>
      <c r="G53" s="48"/>
      <c r="H53" s="48"/>
      <c r="I53" s="48"/>
      <c r="J53" s="48"/>
      <c r="K53" s="48"/>
      <c r="L53" s="63"/>
      <c r="M53" s="63"/>
      <c r="N53" s="63"/>
      <c r="O53" s="63"/>
      <c r="P53" s="63"/>
      <c r="Q53" s="77"/>
      <c r="R53" s="77"/>
      <c r="S53" s="77"/>
      <c r="T53" s="77"/>
      <c r="U53" s="77"/>
      <c r="V53" s="63"/>
      <c r="W53" s="94"/>
      <c r="X53" s="94"/>
      <c r="Y53" s="94"/>
      <c r="Z53" s="94"/>
      <c r="AA53" s="94"/>
      <c r="AB53" s="94"/>
      <c r="AC53" s="105" t="str">
        <f>IFERROR(VLOOKUP(Z53,'【参考】数式用'!$A$4:$B$57,2,FALSE),"")</f>
        <v/>
      </c>
      <c r="AD53" s="108"/>
      <c r="AE53" s="113"/>
      <c r="AF53" s="119">
        <f t="shared" si="0"/>
        <v>0</v>
      </c>
      <c r="AG53" s="122" t="str">
        <f>IF(B53="","",IF(AQ53="総合事業","数式を削除して手入力",IFERROR(INDEX('【参考】数式用'!$AD$3:$AF$452,MATCH(Q53&amp;V53,'【参考】数式用'!$AC$3:$AC$452,0),MATCH(VLOOKUP(Z53,'【参考】数式用'!$AG$2:$AH$56,2,FALSE),'【参考】数式用'!$AD$2:$AF$2,0)),10)))</f>
        <v/>
      </c>
      <c r="AP53" s="127" t="str">
        <f>IF($L$16="","",VLOOKUP(Z53,'【参考】数式用'!$A$2:$O$57,14,FALSE))</f>
        <v/>
      </c>
      <c r="AQ53" s="126" t="e">
        <f>VLOOKUP(Z53,'【参考】数式用'!$A$2:$O$57,15,FALSE)</f>
        <v>#N/A</v>
      </c>
    </row>
    <row r="54" spans="1:43" ht="49.9" customHeight="1">
      <c r="A54" s="29">
        <f t="shared" si="1"/>
        <v>15</v>
      </c>
      <c r="B54" s="42"/>
      <c r="C54" s="48"/>
      <c r="D54" s="48"/>
      <c r="E54" s="48"/>
      <c r="F54" s="48"/>
      <c r="G54" s="48"/>
      <c r="H54" s="48"/>
      <c r="I54" s="48"/>
      <c r="J54" s="48"/>
      <c r="K54" s="48"/>
      <c r="L54" s="63"/>
      <c r="M54" s="63"/>
      <c r="N54" s="63"/>
      <c r="O54" s="63"/>
      <c r="P54" s="63"/>
      <c r="Q54" s="77"/>
      <c r="R54" s="77"/>
      <c r="S54" s="77"/>
      <c r="T54" s="77"/>
      <c r="U54" s="77"/>
      <c r="V54" s="63"/>
      <c r="W54" s="94"/>
      <c r="X54" s="94"/>
      <c r="Y54" s="94"/>
      <c r="Z54" s="94"/>
      <c r="AA54" s="94"/>
      <c r="AB54" s="94"/>
      <c r="AC54" s="105" t="str">
        <f>IFERROR(VLOOKUP(Z54,'【参考】数式用'!$A$4:$B$57,2,FALSE),"")</f>
        <v/>
      </c>
      <c r="AD54" s="108"/>
      <c r="AE54" s="113"/>
      <c r="AF54" s="119">
        <f t="shared" si="0"/>
        <v>0</v>
      </c>
      <c r="AG54" s="122" t="str">
        <f>IF(B54="","",IF(AQ54="総合事業","数式を削除して手入力",IFERROR(INDEX('【参考】数式用'!$AD$3:$AF$452,MATCH(Q54&amp;V54,'【参考】数式用'!$AC$3:$AC$452,0),MATCH(VLOOKUP(Z54,'【参考】数式用'!$AG$2:$AH$56,2,FALSE),'【参考】数式用'!$AD$2:$AF$2,0)),10)))</f>
        <v/>
      </c>
      <c r="AP54" s="127" t="str">
        <f>IF($L$16="","",VLOOKUP(Z54,'【参考】数式用'!$A$2:$O$57,14,FALSE))</f>
        <v/>
      </c>
      <c r="AQ54" s="126" t="e">
        <f>VLOOKUP(Z54,'【参考】数式用'!$A$2:$O$57,15,FALSE)</f>
        <v>#N/A</v>
      </c>
    </row>
    <row r="55" spans="1:43" ht="49.9" customHeight="1">
      <c r="A55" s="29">
        <f t="shared" si="1"/>
        <v>16</v>
      </c>
      <c r="B55" s="42"/>
      <c r="C55" s="48"/>
      <c r="D55" s="48"/>
      <c r="E55" s="48"/>
      <c r="F55" s="48"/>
      <c r="G55" s="48"/>
      <c r="H55" s="48"/>
      <c r="I55" s="48"/>
      <c r="J55" s="48"/>
      <c r="K55" s="48"/>
      <c r="L55" s="63"/>
      <c r="M55" s="63"/>
      <c r="N55" s="63"/>
      <c r="O55" s="63"/>
      <c r="P55" s="63"/>
      <c r="Q55" s="77"/>
      <c r="R55" s="77"/>
      <c r="S55" s="77"/>
      <c r="T55" s="77"/>
      <c r="U55" s="77"/>
      <c r="V55" s="63"/>
      <c r="W55" s="94"/>
      <c r="X55" s="94"/>
      <c r="Y55" s="94"/>
      <c r="Z55" s="94"/>
      <c r="AA55" s="94"/>
      <c r="AB55" s="94"/>
      <c r="AC55" s="105" t="str">
        <f>IFERROR(VLOOKUP(Z55,'【参考】数式用'!$A$4:$B$57,2,FALSE),"")</f>
        <v/>
      </c>
      <c r="AD55" s="108"/>
      <c r="AE55" s="113"/>
      <c r="AF55" s="119">
        <f t="shared" si="0"/>
        <v>0</v>
      </c>
      <c r="AG55" s="122" t="str">
        <f>IF(B55="","",IF(AQ55="総合事業","数式を削除して手入力",IFERROR(INDEX('【参考】数式用'!$AD$3:$AF$452,MATCH(Q55&amp;V55,'【参考】数式用'!$AC$3:$AC$452,0),MATCH(VLOOKUP(Z55,'【参考】数式用'!$AG$2:$AH$56,2,FALSE),'【参考】数式用'!$AD$2:$AF$2,0)),10)))</f>
        <v/>
      </c>
      <c r="AP55" s="127" t="str">
        <f>IF($L$16="","",VLOOKUP(Z55,'【参考】数式用'!$A$2:$O$57,14,FALSE))</f>
        <v/>
      </c>
      <c r="AQ55" s="126" t="e">
        <f>VLOOKUP(Z55,'【参考】数式用'!$A$2:$O$57,15,FALSE)</f>
        <v>#N/A</v>
      </c>
    </row>
    <row r="56" spans="1:43" ht="49.9" customHeight="1">
      <c r="A56" s="29">
        <f t="shared" si="1"/>
        <v>17</v>
      </c>
      <c r="B56" s="42"/>
      <c r="C56" s="48"/>
      <c r="D56" s="48"/>
      <c r="E56" s="48"/>
      <c r="F56" s="48"/>
      <c r="G56" s="48"/>
      <c r="H56" s="48"/>
      <c r="I56" s="48"/>
      <c r="J56" s="48"/>
      <c r="K56" s="48"/>
      <c r="L56" s="63"/>
      <c r="M56" s="63"/>
      <c r="N56" s="63"/>
      <c r="O56" s="63"/>
      <c r="P56" s="63"/>
      <c r="Q56" s="77"/>
      <c r="R56" s="77"/>
      <c r="S56" s="77"/>
      <c r="T56" s="77"/>
      <c r="U56" s="77"/>
      <c r="V56" s="63"/>
      <c r="W56" s="94"/>
      <c r="X56" s="94"/>
      <c r="Y56" s="94"/>
      <c r="Z56" s="94"/>
      <c r="AA56" s="94"/>
      <c r="AB56" s="94"/>
      <c r="AC56" s="105" t="str">
        <f>IFERROR(VLOOKUP(Z56,'【参考】数式用'!$A$4:$B$57,2,FALSE),"")</f>
        <v/>
      </c>
      <c r="AD56" s="108"/>
      <c r="AE56" s="113"/>
      <c r="AF56" s="119">
        <f t="shared" si="0"/>
        <v>0</v>
      </c>
      <c r="AG56" s="122" t="str">
        <f>IF(B56="","",IF(AQ56="総合事業","数式を削除して手入力",IFERROR(INDEX('【参考】数式用'!$AD$3:$AF$452,MATCH(Q56&amp;V56,'【参考】数式用'!$AC$3:$AC$452,0),MATCH(VLOOKUP(Z56,'【参考】数式用'!$AG$2:$AH$56,2,FALSE),'【参考】数式用'!$AD$2:$AF$2,0)),10)))</f>
        <v/>
      </c>
      <c r="AP56" s="127" t="str">
        <f>IF($L$16="","",VLOOKUP(Z56,'【参考】数式用'!$A$2:$O$57,14,FALSE))</f>
        <v/>
      </c>
      <c r="AQ56" s="126" t="e">
        <f>VLOOKUP(Z56,'【参考】数式用'!$A$2:$O$57,15,FALSE)</f>
        <v>#N/A</v>
      </c>
    </row>
    <row r="57" spans="1:43" ht="49.9" customHeight="1">
      <c r="A57" s="29">
        <f t="shared" si="1"/>
        <v>18</v>
      </c>
      <c r="B57" s="42"/>
      <c r="C57" s="48"/>
      <c r="D57" s="48"/>
      <c r="E57" s="48"/>
      <c r="F57" s="48"/>
      <c r="G57" s="48"/>
      <c r="H57" s="48"/>
      <c r="I57" s="48"/>
      <c r="J57" s="48"/>
      <c r="K57" s="48"/>
      <c r="L57" s="63"/>
      <c r="M57" s="63"/>
      <c r="N57" s="63"/>
      <c r="O57" s="63"/>
      <c r="P57" s="63"/>
      <c r="Q57" s="77"/>
      <c r="R57" s="77"/>
      <c r="S57" s="77"/>
      <c r="T57" s="77"/>
      <c r="U57" s="77"/>
      <c r="V57" s="63"/>
      <c r="W57" s="94"/>
      <c r="X57" s="94"/>
      <c r="Y57" s="94"/>
      <c r="Z57" s="94"/>
      <c r="AA57" s="94"/>
      <c r="AB57" s="94"/>
      <c r="AC57" s="105" t="str">
        <f>IFERROR(VLOOKUP(Z57,'【参考】数式用'!$A$4:$B$57,2,FALSE),"")</f>
        <v/>
      </c>
      <c r="AD57" s="108"/>
      <c r="AE57" s="113"/>
      <c r="AF57" s="119">
        <f t="shared" si="0"/>
        <v>0</v>
      </c>
      <c r="AG57" s="122" t="str">
        <f>IF(B57="","",IF(AQ57="総合事業","数式を削除して手入力",IFERROR(INDEX('【参考】数式用'!$AD$3:$AF$452,MATCH(Q57&amp;V57,'【参考】数式用'!$AC$3:$AC$452,0),MATCH(VLOOKUP(Z57,'【参考】数式用'!$AG$2:$AH$56,2,FALSE),'【参考】数式用'!$AD$2:$AF$2,0)),10)))</f>
        <v/>
      </c>
      <c r="AP57" s="127" t="str">
        <f>IF($L$16="","",VLOOKUP(Z57,'【参考】数式用'!$A$2:$O$57,14,FALSE))</f>
        <v/>
      </c>
      <c r="AQ57" s="126" t="e">
        <f>VLOOKUP(Z57,'【参考】数式用'!$A$2:$O$57,15,FALSE)</f>
        <v>#N/A</v>
      </c>
    </row>
    <row r="58" spans="1:43" ht="49.9" customHeight="1">
      <c r="A58" s="29">
        <f t="shared" si="1"/>
        <v>19</v>
      </c>
      <c r="B58" s="42"/>
      <c r="C58" s="48"/>
      <c r="D58" s="48"/>
      <c r="E58" s="48"/>
      <c r="F58" s="48"/>
      <c r="G58" s="48"/>
      <c r="H58" s="48"/>
      <c r="I58" s="48"/>
      <c r="J58" s="48"/>
      <c r="K58" s="48"/>
      <c r="L58" s="63"/>
      <c r="M58" s="63"/>
      <c r="N58" s="63"/>
      <c r="O58" s="63"/>
      <c r="P58" s="63"/>
      <c r="Q58" s="77"/>
      <c r="R58" s="77"/>
      <c r="S58" s="77"/>
      <c r="T58" s="77"/>
      <c r="U58" s="77"/>
      <c r="V58" s="63"/>
      <c r="W58" s="94"/>
      <c r="X58" s="94"/>
      <c r="Y58" s="94"/>
      <c r="Z58" s="94"/>
      <c r="AA58" s="94"/>
      <c r="AB58" s="94"/>
      <c r="AC58" s="105" t="str">
        <f>IFERROR(VLOOKUP(Z58,'【参考】数式用'!$A$4:$B$57,2,FALSE),"")</f>
        <v/>
      </c>
      <c r="AD58" s="108"/>
      <c r="AE58" s="113"/>
      <c r="AF58" s="119">
        <f t="shared" si="0"/>
        <v>0</v>
      </c>
      <c r="AG58" s="122" t="str">
        <f>IF(B58="","",IF(AQ58="総合事業","数式を削除して手入力",IFERROR(INDEX('【参考】数式用'!$AD$3:$AF$452,MATCH(Q58&amp;V58,'【参考】数式用'!$AC$3:$AC$452,0),MATCH(VLOOKUP(Z58,'【参考】数式用'!$AG$2:$AH$56,2,FALSE),'【参考】数式用'!$AD$2:$AF$2,0)),10)))</f>
        <v/>
      </c>
      <c r="AP58" s="127" t="str">
        <f>IF($L$16="","",VLOOKUP(Z58,'【参考】数式用'!$A$2:$O$57,14,FALSE))</f>
        <v/>
      </c>
      <c r="AQ58" s="126" t="e">
        <f>VLOOKUP(Z58,'【参考】数式用'!$A$2:$O$57,15,FALSE)</f>
        <v>#N/A</v>
      </c>
    </row>
    <row r="59" spans="1:43" ht="49.9" customHeight="1">
      <c r="A59" s="29">
        <f t="shared" si="1"/>
        <v>20</v>
      </c>
      <c r="B59" s="42"/>
      <c r="C59" s="48"/>
      <c r="D59" s="48"/>
      <c r="E59" s="48"/>
      <c r="F59" s="48"/>
      <c r="G59" s="48"/>
      <c r="H59" s="48"/>
      <c r="I59" s="48"/>
      <c r="J59" s="48"/>
      <c r="K59" s="48"/>
      <c r="L59" s="63"/>
      <c r="M59" s="63"/>
      <c r="N59" s="63"/>
      <c r="O59" s="63"/>
      <c r="P59" s="63"/>
      <c r="Q59" s="77"/>
      <c r="R59" s="77"/>
      <c r="S59" s="77"/>
      <c r="T59" s="77"/>
      <c r="U59" s="77"/>
      <c r="V59" s="63"/>
      <c r="W59" s="94"/>
      <c r="X59" s="94"/>
      <c r="Y59" s="94"/>
      <c r="Z59" s="94"/>
      <c r="AA59" s="94"/>
      <c r="AB59" s="94"/>
      <c r="AC59" s="105" t="str">
        <f>IFERROR(VLOOKUP(Z59,'【参考】数式用'!$A$4:$B$57,2,FALSE),"")</f>
        <v/>
      </c>
      <c r="AD59" s="108"/>
      <c r="AE59" s="113"/>
      <c r="AF59" s="119">
        <f t="shared" si="0"/>
        <v>0</v>
      </c>
      <c r="AG59" s="122" t="str">
        <f>IF(B59="","",IF(AQ59="総合事業","数式を削除して手入力",IFERROR(INDEX('【参考】数式用'!$AD$3:$AF$452,MATCH(Q59&amp;V59,'【参考】数式用'!$AC$3:$AC$452,0),MATCH(VLOOKUP(Z59,'【参考】数式用'!$AG$2:$AH$56,2,FALSE),'【参考】数式用'!$AD$2:$AF$2,0)),10)))</f>
        <v/>
      </c>
      <c r="AP59" s="127" t="str">
        <f>IF($L$16="","",VLOOKUP(Z59,'【参考】数式用'!$A$2:$O$57,14,FALSE))</f>
        <v/>
      </c>
      <c r="AQ59" s="126" t="e">
        <f>VLOOKUP(Z59,'【参考】数式用'!$A$2:$O$57,15,FALSE)</f>
        <v>#N/A</v>
      </c>
    </row>
    <row r="60" spans="1:43" ht="49.9" customHeight="1">
      <c r="A60" s="29">
        <f t="shared" si="1"/>
        <v>21</v>
      </c>
      <c r="B60" s="42"/>
      <c r="C60" s="48"/>
      <c r="D60" s="48"/>
      <c r="E60" s="48"/>
      <c r="F60" s="48"/>
      <c r="G60" s="48"/>
      <c r="H60" s="48"/>
      <c r="I60" s="48"/>
      <c r="J60" s="48"/>
      <c r="K60" s="48"/>
      <c r="L60" s="63"/>
      <c r="M60" s="63"/>
      <c r="N60" s="63"/>
      <c r="O60" s="63"/>
      <c r="P60" s="63"/>
      <c r="Q60" s="77"/>
      <c r="R60" s="77"/>
      <c r="S60" s="77"/>
      <c r="T60" s="77"/>
      <c r="U60" s="77"/>
      <c r="V60" s="63"/>
      <c r="W60" s="94"/>
      <c r="X60" s="94"/>
      <c r="Y60" s="94"/>
      <c r="Z60" s="94"/>
      <c r="AA60" s="94"/>
      <c r="AB60" s="94"/>
      <c r="AC60" s="105" t="str">
        <f>IFERROR(VLOOKUP(Z60,'【参考】数式用'!$A$4:$B$57,2,FALSE),"")</f>
        <v/>
      </c>
      <c r="AD60" s="108"/>
      <c r="AE60" s="113"/>
      <c r="AF60" s="119">
        <f t="shared" si="0"/>
        <v>0</v>
      </c>
      <c r="AG60" s="122" t="str">
        <f>IF(B60="","",IF(AQ60="総合事業","数式を削除して手入力",IFERROR(INDEX('【参考】数式用'!$AD$3:$AF$452,MATCH(Q60&amp;V60,'【参考】数式用'!$AC$3:$AC$452,0),MATCH(VLOOKUP(Z60,'【参考】数式用'!$AG$2:$AH$56,2,FALSE),'【参考】数式用'!$AD$2:$AF$2,0)),10)))</f>
        <v/>
      </c>
      <c r="AP60" s="127" t="str">
        <f>IF($L$16="","",VLOOKUP(Z60,'【参考】数式用'!$A$2:$O$57,14,FALSE))</f>
        <v/>
      </c>
      <c r="AQ60" s="126" t="e">
        <f>VLOOKUP(Z60,'【参考】数式用'!$A$2:$O$57,15,FALSE)</f>
        <v>#N/A</v>
      </c>
    </row>
    <row r="61" spans="1:43" ht="49.9" customHeight="1">
      <c r="A61" s="29">
        <f t="shared" si="1"/>
        <v>22</v>
      </c>
      <c r="B61" s="42"/>
      <c r="C61" s="48"/>
      <c r="D61" s="48"/>
      <c r="E61" s="48"/>
      <c r="F61" s="48"/>
      <c r="G61" s="48"/>
      <c r="H61" s="48"/>
      <c r="I61" s="48"/>
      <c r="J61" s="48"/>
      <c r="K61" s="48"/>
      <c r="L61" s="63"/>
      <c r="M61" s="63"/>
      <c r="N61" s="63"/>
      <c r="O61" s="63"/>
      <c r="P61" s="63"/>
      <c r="Q61" s="77"/>
      <c r="R61" s="77"/>
      <c r="S61" s="77"/>
      <c r="T61" s="77"/>
      <c r="U61" s="77"/>
      <c r="V61" s="63"/>
      <c r="W61" s="94"/>
      <c r="X61" s="94"/>
      <c r="Y61" s="94"/>
      <c r="Z61" s="94"/>
      <c r="AA61" s="94"/>
      <c r="AB61" s="94"/>
      <c r="AC61" s="105" t="str">
        <f>IFERROR(VLOOKUP(Z61,'【参考】数式用'!$A$4:$B$57,2,FALSE),"")</f>
        <v/>
      </c>
      <c r="AD61" s="108"/>
      <c r="AE61" s="113"/>
      <c r="AF61" s="119">
        <f t="shared" si="0"/>
        <v>0</v>
      </c>
      <c r="AG61" s="122" t="str">
        <f>IF(B61="","",IF(AQ61="総合事業","数式を削除して手入力",IFERROR(INDEX('【参考】数式用'!$AD$3:$AF$452,MATCH(Q61&amp;V61,'【参考】数式用'!$AC$3:$AC$452,0),MATCH(VLOOKUP(Z61,'【参考】数式用'!$AG$2:$AH$56,2,FALSE),'【参考】数式用'!$AD$2:$AF$2,0)),10)))</f>
        <v/>
      </c>
      <c r="AP61" s="127" t="str">
        <f>IF($L$16="","",VLOOKUP(Z61,'【参考】数式用'!$A$2:$O$57,14,FALSE))</f>
        <v/>
      </c>
      <c r="AQ61" s="126" t="e">
        <f>VLOOKUP(Z61,'【参考】数式用'!$A$2:$O$57,15,FALSE)</f>
        <v>#N/A</v>
      </c>
    </row>
    <row r="62" spans="1:43" ht="49.9" customHeight="1">
      <c r="A62" s="29">
        <f t="shared" si="1"/>
        <v>23</v>
      </c>
      <c r="B62" s="42"/>
      <c r="C62" s="48"/>
      <c r="D62" s="48"/>
      <c r="E62" s="48"/>
      <c r="F62" s="48"/>
      <c r="G62" s="48"/>
      <c r="H62" s="48"/>
      <c r="I62" s="48"/>
      <c r="J62" s="48"/>
      <c r="K62" s="48"/>
      <c r="L62" s="63"/>
      <c r="M62" s="63"/>
      <c r="N62" s="63"/>
      <c r="O62" s="63"/>
      <c r="P62" s="63"/>
      <c r="Q62" s="77"/>
      <c r="R62" s="77"/>
      <c r="S62" s="77"/>
      <c r="T62" s="77"/>
      <c r="U62" s="77"/>
      <c r="V62" s="63"/>
      <c r="W62" s="94"/>
      <c r="X62" s="94"/>
      <c r="Y62" s="94"/>
      <c r="Z62" s="94"/>
      <c r="AA62" s="94"/>
      <c r="AB62" s="94"/>
      <c r="AC62" s="105" t="str">
        <f>IFERROR(VLOOKUP(Z62,'【参考】数式用'!$A$4:$B$57,2,FALSE),"")</f>
        <v/>
      </c>
      <c r="AD62" s="108"/>
      <c r="AE62" s="113"/>
      <c r="AF62" s="119">
        <f t="shared" si="0"/>
        <v>0</v>
      </c>
      <c r="AG62" s="122" t="str">
        <f>IF(B62="","",IF(AQ62="総合事業","数式を削除して手入力",IFERROR(INDEX('【参考】数式用'!$AD$3:$AF$452,MATCH(Q62&amp;V62,'【参考】数式用'!$AC$3:$AC$452,0),MATCH(VLOOKUP(Z62,'【参考】数式用'!$AG$2:$AH$56,2,FALSE),'【参考】数式用'!$AD$2:$AF$2,0)),10)))</f>
        <v/>
      </c>
      <c r="AP62" s="127" t="str">
        <f>IF($L$16="","",VLOOKUP(Z62,'【参考】数式用'!$A$2:$O$57,14,FALSE))</f>
        <v/>
      </c>
      <c r="AQ62" s="126" t="e">
        <f>VLOOKUP(Z62,'【参考】数式用'!$A$2:$O$57,15,FALSE)</f>
        <v>#N/A</v>
      </c>
    </row>
    <row r="63" spans="1:43" ht="49.9" customHeight="1">
      <c r="A63" s="29">
        <f t="shared" si="1"/>
        <v>24</v>
      </c>
      <c r="B63" s="42"/>
      <c r="C63" s="48"/>
      <c r="D63" s="48"/>
      <c r="E63" s="48"/>
      <c r="F63" s="48"/>
      <c r="G63" s="48"/>
      <c r="H63" s="48"/>
      <c r="I63" s="48"/>
      <c r="J63" s="48"/>
      <c r="K63" s="48"/>
      <c r="L63" s="63"/>
      <c r="M63" s="63"/>
      <c r="N63" s="63"/>
      <c r="O63" s="63"/>
      <c r="P63" s="63"/>
      <c r="Q63" s="77"/>
      <c r="R63" s="77"/>
      <c r="S63" s="77"/>
      <c r="T63" s="77"/>
      <c r="U63" s="77"/>
      <c r="V63" s="63"/>
      <c r="W63" s="94"/>
      <c r="X63" s="94"/>
      <c r="Y63" s="94"/>
      <c r="Z63" s="94"/>
      <c r="AA63" s="94"/>
      <c r="AB63" s="94"/>
      <c r="AC63" s="105" t="str">
        <f>IFERROR(VLOOKUP(Z63,'【参考】数式用'!$A$4:$B$57,2,FALSE),"")</f>
        <v/>
      </c>
      <c r="AD63" s="108"/>
      <c r="AE63" s="113"/>
      <c r="AF63" s="119">
        <f t="shared" si="0"/>
        <v>0</v>
      </c>
      <c r="AG63" s="122" t="str">
        <f>IF(B63="","",IF(AQ63="総合事業","数式を削除して手入力",IFERROR(INDEX('【参考】数式用'!$AD$3:$AF$452,MATCH(Q63&amp;V63,'【参考】数式用'!$AC$3:$AC$452,0),MATCH(VLOOKUP(Z63,'【参考】数式用'!$AG$2:$AH$56,2,FALSE),'【参考】数式用'!$AD$2:$AF$2,0)),10)))</f>
        <v/>
      </c>
      <c r="AP63" s="127" t="str">
        <f>IF($L$16="","",VLOOKUP(Z63,'【参考】数式用'!$A$2:$O$57,14,FALSE))</f>
        <v/>
      </c>
      <c r="AQ63" s="126" t="e">
        <f>VLOOKUP(Z63,'【参考】数式用'!$A$2:$O$57,15,FALSE)</f>
        <v>#N/A</v>
      </c>
    </row>
    <row r="64" spans="1:43" ht="49.9" customHeight="1">
      <c r="A64" s="29">
        <f t="shared" si="1"/>
        <v>25</v>
      </c>
      <c r="B64" s="42"/>
      <c r="C64" s="48"/>
      <c r="D64" s="48"/>
      <c r="E64" s="48"/>
      <c r="F64" s="48"/>
      <c r="G64" s="48"/>
      <c r="H64" s="48"/>
      <c r="I64" s="48"/>
      <c r="J64" s="48"/>
      <c r="K64" s="48"/>
      <c r="L64" s="63"/>
      <c r="M64" s="63"/>
      <c r="N64" s="63"/>
      <c r="O64" s="63"/>
      <c r="P64" s="63"/>
      <c r="Q64" s="77"/>
      <c r="R64" s="77"/>
      <c r="S64" s="77"/>
      <c r="T64" s="77"/>
      <c r="U64" s="77"/>
      <c r="V64" s="63"/>
      <c r="W64" s="94"/>
      <c r="X64" s="94"/>
      <c r="Y64" s="94"/>
      <c r="Z64" s="94"/>
      <c r="AA64" s="94"/>
      <c r="AB64" s="94"/>
      <c r="AC64" s="105" t="str">
        <f>IFERROR(VLOOKUP(Z64,'【参考】数式用'!$A$4:$B$57,2,FALSE),"")</f>
        <v/>
      </c>
      <c r="AD64" s="108"/>
      <c r="AE64" s="113"/>
      <c r="AF64" s="119">
        <f t="shared" si="0"/>
        <v>0</v>
      </c>
      <c r="AG64" s="122" t="str">
        <f>IF(B64="","",IF(AQ64="総合事業","数式を削除して手入力",IFERROR(INDEX('【参考】数式用'!$AD$3:$AF$452,MATCH(Q64&amp;V64,'【参考】数式用'!$AC$3:$AC$452,0),MATCH(VLOOKUP(Z64,'【参考】数式用'!$AG$2:$AH$56,2,FALSE),'【参考】数式用'!$AD$2:$AF$2,0)),10)))</f>
        <v/>
      </c>
      <c r="AP64" s="127" t="str">
        <f>IF($L$16="","",VLOOKUP(Z64,'【参考】数式用'!$A$2:$O$57,14,FALSE))</f>
        <v/>
      </c>
      <c r="AQ64" s="126" t="e">
        <f>VLOOKUP(Z64,'【参考】数式用'!$A$2:$O$57,15,FALSE)</f>
        <v>#N/A</v>
      </c>
    </row>
    <row r="65" spans="1:43" ht="49.9" customHeight="1">
      <c r="A65" s="29">
        <f t="shared" si="1"/>
        <v>26</v>
      </c>
      <c r="B65" s="42"/>
      <c r="C65" s="48"/>
      <c r="D65" s="48"/>
      <c r="E65" s="48"/>
      <c r="F65" s="48"/>
      <c r="G65" s="48"/>
      <c r="H65" s="48"/>
      <c r="I65" s="48"/>
      <c r="J65" s="48"/>
      <c r="K65" s="48"/>
      <c r="L65" s="63"/>
      <c r="M65" s="63"/>
      <c r="N65" s="63"/>
      <c r="O65" s="63"/>
      <c r="P65" s="63"/>
      <c r="Q65" s="77"/>
      <c r="R65" s="77"/>
      <c r="S65" s="77"/>
      <c r="T65" s="77"/>
      <c r="U65" s="77"/>
      <c r="V65" s="63"/>
      <c r="W65" s="94"/>
      <c r="X65" s="94"/>
      <c r="Y65" s="94"/>
      <c r="Z65" s="94"/>
      <c r="AA65" s="94"/>
      <c r="AB65" s="94"/>
      <c r="AC65" s="105" t="str">
        <f>IFERROR(VLOOKUP(Z65,'【参考】数式用'!$A$4:$B$57,2,FALSE),"")</f>
        <v/>
      </c>
      <c r="AD65" s="108"/>
      <c r="AE65" s="113"/>
      <c r="AF65" s="119">
        <f t="shared" si="0"/>
        <v>0</v>
      </c>
      <c r="AG65" s="122" t="str">
        <f>IF(B65="","",IF(AQ65="総合事業","数式を削除して手入力",IFERROR(INDEX('【参考】数式用'!$AD$3:$AF$452,MATCH(Q65&amp;V65,'【参考】数式用'!$AC$3:$AC$452,0),MATCH(VLOOKUP(Z65,'【参考】数式用'!$AG$2:$AH$56,2,FALSE),'【参考】数式用'!$AD$2:$AF$2,0)),10)))</f>
        <v/>
      </c>
      <c r="AP65" s="127" t="str">
        <f>IF($L$16="","",VLOOKUP(Z65,'【参考】数式用'!$A$2:$O$57,14,FALSE))</f>
        <v/>
      </c>
      <c r="AQ65" s="126" t="e">
        <f>VLOOKUP(Z65,'【参考】数式用'!$A$2:$O$57,15,FALSE)</f>
        <v>#N/A</v>
      </c>
    </row>
    <row r="66" spans="1:43" ht="49.9" customHeight="1">
      <c r="A66" s="29">
        <f t="shared" si="1"/>
        <v>27</v>
      </c>
      <c r="B66" s="42"/>
      <c r="C66" s="48"/>
      <c r="D66" s="48"/>
      <c r="E66" s="48"/>
      <c r="F66" s="48"/>
      <c r="G66" s="48"/>
      <c r="H66" s="48"/>
      <c r="I66" s="48"/>
      <c r="J66" s="48"/>
      <c r="K66" s="48"/>
      <c r="L66" s="63"/>
      <c r="M66" s="63"/>
      <c r="N66" s="63"/>
      <c r="O66" s="63"/>
      <c r="P66" s="63"/>
      <c r="Q66" s="77"/>
      <c r="R66" s="77"/>
      <c r="S66" s="77"/>
      <c r="T66" s="77"/>
      <c r="U66" s="77"/>
      <c r="V66" s="63"/>
      <c r="W66" s="94"/>
      <c r="X66" s="94"/>
      <c r="Y66" s="94"/>
      <c r="Z66" s="94"/>
      <c r="AA66" s="94"/>
      <c r="AB66" s="94"/>
      <c r="AC66" s="105" t="str">
        <f>IFERROR(VLOOKUP(Z66,'【参考】数式用'!$A$4:$B$57,2,FALSE),"")</f>
        <v/>
      </c>
      <c r="AD66" s="108"/>
      <c r="AE66" s="113"/>
      <c r="AF66" s="119">
        <f t="shared" si="0"/>
        <v>0</v>
      </c>
      <c r="AG66" s="122" t="str">
        <f>IF(B66="","",IF(AQ66="総合事業","数式を削除して手入力",IFERROR(INDEX('【参考】数式用'!$AD$3:$AF$452,MATCH(Q66&amp;V66,'【参考】数式用'!$AC$3:$AC$452,0),MATCH(VLOOKUP(Z66,'【参考】数式用'!$AG$2:$AH$56,2,FALSE),'【参考】数式用'!$AD$2:$AF$2,0)),10)))</f>
        <v/>
      </c>
      <c r="AP66" s="127" t="str">
        <f>IF($L$16="","",VLOOKUP(Z66,'【参考】数式用'!$A$2:$O$57,14,FALSE))</f>
        <v/>
      </c>
      <c r="AQ66" s="126" t="e">
        <f>VLOOKUP(Z66,'【参考】数式用'!$A$2:$O$57,15,FALSE)</f>
        <v>#N/A</v>
      </c>
    </row>
    <row r="67" spans="1:43" ht="49.9" customHeight="1">
      <c r="A67" s="29">
        <f t="shared" si="1"/>
        <v>28</v>
      </c>
      <c r="B67" s="42"/>
      <c r="C67" s="48"/>
      <c r="D67" s="48"/>
      <c r="E67" s="48"/>
      <c r="F67" s="48"/>
      <c r="G67" s="48"/>
      <c r="H67" s="48"/>
      <c r="I67" s="48"/>
      <c r="J67" s="48"/>
      <c r="K67" s="48"/>
      <c r="L67" s="63"/>
      <c r="M67" s="63"/>
      <c r="N67" s="63"/>
      <c r="O67" s="63"/>
      <c r="P67" s="63"/>
      <c r="Q67" s="77"/>
      <c r="R67" s="77"/>
      <c r="S67" s="77"/>
      <c r="T67" s="77"/>
      <c r="U67" s="77"/>
      <c r="V67" s="63"/>
      <c r="W67" s="94"/>
      <c r="X67" s="94"/>
      <c r="Y67" s="94"/>
      <c r="Z67" s="94"/>
      <c r="AA67" s="94"/>
      <c r="AB67" s="94"/>
      <c r="AC67" s="105" t="str">
        <f>IFERROR(VLOOKUP(Z67,'【参考】数式用'!$A$4:$B$57,2,FALSE),"")</f>
        <v/>
      </c>
      <c r="AD67" s="108"/>
      <c r="AE67" s="113"/>
      <c r="AF67" s="119">
        <f t="shared" si="0"/>
        <v>0</v>
      </c>
      <c r="AG67" s="122" t="str">
        <f>IF(B67="","",IF(AQ67="総合事業","数式を削除して手入力",IFERROR(INDEX('【参考】数式用'!$AD$3:$AF$452,MATCH(Q67&amp;V67,'【参考】数式用'!$AC$3:$AC$452,0),MATCH(VLOOKUP(Z67,'【参考】数式用'!$AG$2:$AH$56,2,FALSE),'【参考】数式用'!$AD$2:$AF$2,0)),10)))</f>
        <v/>
      </c>
      <c r="AP67" s="127" t="str">
        <f>IF($L$16="","",VLOOKUP(Z67,'【参考】数式用'!$A$2:$O$57,14,FALSE))</f>
        <v/>
      </c>
      <c r="AQ67" s="126" t="e">
        <f>VLOOKUP(Z67,'【参考】数式用'!$A$2:$O$57,15,FALSE)</f>
        <v>#N/A</v>
      </c>
    </row>
    <row r="68" spans="1:43" ht="49.9" customHeight="1">
      <c r="A68" s="29">
        <f t="shared" si="1"/>
        <v>29</v>
      </c>
      <c r="B68" s="42"/>
      <c r="C68" s="48"/>
      <c r="D68" s="48"/>
      <c r="E68" s="48"/>
      <c r="F68" s="48"/>
      <c r="G68" s="48"/>
      <c r="H68" s="48"/>
      <c r="I68" s="48"/>
      <c r="J68" s="48"/>
      <c r="K68" s="48"/>
      <c r="L68" s="63"/>
      <c r="M68" s="63"/>
      <c r="N68" s="63"/>
      <c r="O68" s="63"/>
      <c r="P68" s="63"/>
      <c r="Q68" s="77"/>
      <c r="R68" s="77"/>
      <c r="S68" s="77"/>
      <c r="T68" s="77"/>
      <c r="U68" s="77"/>
      <c r="V68" s="63"/>
      <c r="W68" s="94"/>
      <c r="X68" s="94"/>
      <c r="Y68" s="94"/>
      <c r="Z68" s="94"/>
      <c r="AA68" s="94"/>
      <c r="AB68" s="94"/>
      <c r="AC68" s="105" t="str">
        <f>IFERROR(VLOOKUP(Z68,'【参考】数式用'!$A$4:$B$57,2,FALSE),"")</f>
        <v/>
      </c>
      <c r="AD68" s="108"/>
      <c r="AE68" s="113"/>
      <c r="AF68" s="119">
        <f t="shared" si="0"/>
        <v>0</v>
      </c>
      <c r="AG68" s="122" t="str">
        <f>IF(B68="","",IF(AQ68="総合事業","数式を削除して手入力",IFERROR(INDEX('【参考】数式用'!$AD$3:$AF$452,MATCH(Q68&amp;V68,'【参考】数式用'!$AC$3:$AC$452,0),MATCH(VLOOKUP(Z68,'【参考】数式用'!$AG$2:$AH$56,2,FALSE),'【参考】数式用'!$AD$2:$AF$2,0)),10)))</f>
        <v/>
      </c>
      <c r="AP68" s="127" t="str">
        <f>IF($L$16="","",VLOOKUP(Z68,'【参考】数式用'!$A$2:$O$57,14,FALSE))</f>
        <v/>
      </c>
      <c r="AQ68" s="126" t="e">
        <f>VLOOKUP(Z68,'【参考】数式用'!$A$2:$O$57,15,FALSE)</f>
        <v>#N/A</v>
      </c>
    </row>
    <row r="69" spans="1:43" ht="49.9" customHeight="1">
      <c r="A69" s="29">
        <f t="shared" si="1"/>
        <v>30</v>
      </c>
      <c r="B69" s="42"/>
      <c r="C69" s="48"/>
      <c r="D69" s="48"/>
      <c r="E69" s="48"/>
      <c r="F69" s="48"/>
      <c r="G69" s="48"/>
      <c r="H69" s="48"/>
      <c r="I69" s="48"/>
      <c r="J69" s="48"/>
      <c r="K69" s="48"/>
      <c r="L69" s="63"/>
      <c r="M69" s="63"/>
      <c r="N69" s="63"/>
      <c r="O69" s="63"/>
      <c r="P69" s="63"/>
      <c r="Q69" s="77"/>
      <c r="R69" s="77"/>
      <c r="S69" s="77"/>
      <c r="T69" s="77"/>
      <c r="U69" s="77"/>
      <c r="V69" s="63"/>
      <c r="W69" s="94"/>
      <c r="X69" s="94"/>
      <c r="Y69" s="94"/>
      <c r="Z69" s="94"/>
      <c r="AA69" s="94"/>
      <c r="AB69" s="94"/>
      <c r="AC69" s="105" t="str">
        <f>IFERROR(VLOOKUP(Z69,'【参考】数式用'!$A$4:$B$57,2,FALSE),"")</f>
        <v/>
      </c>
      <c r="AD69" s="108"/>
      <c r="AE69" s="113"/>
      <c r="AF69" s="119">
        <f t="shared" si="0"/>
        <v>0</v>
      </c>
      <c r="AG69" s="122" t="str">
        <f>IF(B69="","",IF(AQ69="総合事業","数式を削除して手入力",IFERROR(INDEX('【参考】数式用'!$AD$3:$AF$452,MATCH(Q69&amp;V69,'【参考】数式用'!$AC$3:$AC$452,0),MATCH(VLOOKUP(Z69,'【参考】数式用'!$AG$2:$AH$56,2,FALSE),'【参考】数式用'!$AD$2:$AF$2,0)),10)))</f>
        <v/>
      </c>
      <c r="AP69" s="127" t="str">
        <f>IF($L$16="","",VLOOKUP(Z69,'【参考】数式用'!$A$2:$O$57,14,FALSE))</f>
        <v/>
      </c>
      <c r="AQ69" s="126" t="e">
        <f>VLOOKUP(Z69,'【参考】数式用'!$A$2:$O$57,15,FALSE)</f>
        <v>#N/A</v>
      </c>
    </row>
    <row r="70" spans="1:43" ht="49.9" customHeight="1">
      <c r="A70" s="29">
        <f t="shared" si="1"/>
        <v>31</v>
      </c>
      <c r="B70" s="42"/>
      <c r="C70" s="48"/>
      <c r="D70" s="48"/>
      <c r="E70" s="48"/>
      <c r="F70" s="48"/>
      <c r="G70" s="48"/>
      <c r="H70" s="48"/>
      <c r="I70" s="48"/>
      <c r="J70" s="48"/>
      <c r="K70" s="48"/>
      <c r="L70" s="63"/>
      <c r="M70" s="63"/>
      <c r="N70" s="63"/>
      <c r="O70" s="63"/>
      <c r="P70" s="63"/>
      <c r="Q70" s="77"/>
      <c r="R70" s="77"/>
      <c r="S70" s="77"/>
      <c r="T70" s="77"/>
      <c r="U70" s="77"/>
      <c r="V70" s="63"/>
      <c r="W70" s="94"/>
      <c r="X70" s="94"/>
      <c r="Y70" s="94"/>
      <c r="Z70" s="94"/>
      <c r="AA70" s="94"/>
      <c r="AB70" s="94"/>
      <c r="AC70" s="105" t="str">
        <f>IFERROR(VLOOKUP(Z70,'【参考】数式用'!$A$4:$B$57,2,FALSE),"")</f>
        <v/>
      </c>
      <c r="AD70" s="108"/>
      <c r="AE70" s="113"/>
      <c r="AF70" s="119">
        <f t="shared" si="0"/>
        <v>0</v>
      </c>
      <c r="AG70" s="122" t="str">
        <f>IF(B70="","",IF(AQ70="総合事業","数式を削除して手入力",IFERROR(INDEX('【参考】数式用'!$AD$3:$AF$452,MATCH(Q70&amp;V70,'【参考】数式用'!$AC$3:$AC$452,0),MATCH(VLOOKUP(Z70,'【参考】数式用'!$AG$2:$AH$56,2,FALSE),'【参考】数式用'!$AD$2:$AF$2,0)),10)))</f>
        <v/>
      </c>
      <c r="AP70" s="127" t="str">
        <f>IF($L$16="","",VLOOKUP(Z70,'【参考】数式用'!$A$2:$O$57,14,FALSE))</f>
        <v/>
      </c>
      <c r="AQ70" s="126" t="e">
        <f>VLOOKUP(Z70,'【参考】数式用'!$A$2:$O$57,15,FALSE)</f>
        <v>#N/A</v>
      </c>
    </row>
    <row r="71" spans="1:43" ht="49.9" customHeight="1">
      <c r="A71" s="29">
        <f t="shared" si="1"/>
        <v>32</v>
      </c>
      <c r="B71" s="42"/>
      <c r="C71" s="48"/>
      <c r="D71" s="48"/>
      <c r="E71" s="48"/>
      <c r="F71" s="48"/>
      <c r="G71" s="48"/>
      <c r="H71" s="48"/>
      <c r="I71" s="48"/>
      <c r="J71" s="48"/>
      <c r="K71" s="48"/>
      <c r="L71" s="63"/>
      <c r="M71" s="63"/>
      <c r="N71" s="63"/>
      <c r="O71" s="63"/>
      <c r="P71" s="63"/>
      <c r="Q71" s="77"/>
      <c r="R71" s="77"/>
      <c r="S71" s="77"/>
      <c r="T71" s="77"/>
      <c r="U71" s="77"/>
      <c r="V71" s="63"/>
      <c r="W71" s="94"/>
      <c r="X71" s="94"/>
      <c r="Y71" s="94"/>
      <c r="Z71" s="94"/>
      <c r="AA71" s="94"/>
      <c r="AB71" s="94"/>
      <c r="AC71" s="105" t="str">
        <f>IFERROR(VLOOKUP(Z71,'【参考】数式用'!$A$4:$B$57,2,FALSE),"")</f>
        <v/>
      </c>
      <c r="AD71" s="108"/>
      <c r="AE71" s="113"/>
      <c r="AF71" s="119">
        <f t="shared" si="0"/>
        <v>0</v>
      </c>
      <c r="AG71" s="122" t="str">
        <f>IF(B71="","",IF(AQ71="総合事業","数式を削除して手入力",IFERROR(INDEX('【参考】数式用'!$AD$3:$AF$452,MATCH(Q71&amp;V71,'【参考】数式用'!$AC$3:$AC$452,0),MATCH(VLOOKUP(Z71,'【参考】数式用'!$AG$2:$AH$56,2,FALSE),'【参考】数式用'!$AD$2:$AF$2,0)),10)))</f>
        <v/>
      </c>
      <c r="AP71" s="127" t="str">
        <f>IF($L$16="","",VLOOKUP(Z71,'【参考】数式用'!$A$2:$O$57,14,FALSE))</f>
        <v/>
      </c>
      <c r="AQ71" s="126" t="e">
        <f>VLOOKUP(Z71,'【参考】数式用'!$A$2:$O$57,15,FALSE)</f>
        <v>#N/A</v>
      </c>
    </row>
    <row r="72" spans="1:43" ht="49.9" customHeight="1">
      <c r="A72" s="29">
        <f t="shared" si="1"/>
        <v>33</v>
      </c>
      <c r="B72" s="42"/>
      <c r="C72" s="48"/>
      <c r="D72" s="48"/>
      <c r="E72" s="48"/>
      <c r="F72" s="48"/>
      <c r="G72" s="48"/>
      <c r="H72" s="48"/>
      <c r="I72" s="48"/>
      <c r="J72" s="48"/>
      <c r="K72" s="48"/>
      <c r="L72" s="63"/>
      <c r="M72" s="63"/>
      <c r="N72" s="63"/>
      <c r="O72" s="63"/>
      <c r="P72" s="63"/>
      <c r="Q72" s="77"/>
      <c r="R72" s="77"/>
      <c r="S72" s="77"/>
      <c r="T72" s="77"/>
      <c r="U72" s="77"/>
      <c r="V72" s="63"/>
      <c r="W72" s="94"/>
      <c r="X72" s="94"/>
      <c r="Y72" s="94"/>
      <c r="Z72" s="94"/>
      <c r="AA72" s="94"/>
      <c r="AB72" s="94"/>
      <c r="AC72" s="105" t="str">
        <f>IFERROR(VLOOKUP(Z72,'【参考】数式用'!$A$4:$B$57,2,FALSE),"")</f>
        <v/>
      </c>
      <c r="AD72" s="108"/>
      <c r="AE72" s="113"/>
      <c r="AF72" s="119">
        <f t="shared" si="0"/>
        <v>0</v>
      </c>
      <c r="AG72" s="122" t="str">
        <f>IF(B72="","",IF(AQ72="総合事業","数式を削除して手入力",IFERROR(INDEX('【参考】数式用'!$AD$3:$AF$452,MATCH(Q72&amp;V72,'【参考】数式用'!$AC$3:$AC$452,0),MATCH(VLOOKUP(Z72,'【参考】数式用'!$AG$2:$AH$56,2,FALSE),'【参考】数式用'!$AD$2:$AF$2,0)),10)))</f>
        <v/>
      </c>
      <c r="AP72" s="127" t="str">
        <f>IF($L$16="","",VLOOKUP(Z72,'【参考】数式用'!$A$2:$O$57,14,FALSE))</f>
        <v/>
      </c>
      <c r="AQ72" s="126" t="e">
        <f>VLOOKUP(Z72,'【参考】数式用'!$A$2:$O$57,15,FALSE)</f>
        <v>#N/A</v>
      </c>
    </row>
    <row r="73" spans="1:43" ht="49.9" customHeight="1">
      <c r="A73" s="29">
        <f t="shared" si="1"/>
        <v>34</v>
      </c>
      <c r="B73" s="42"/>
      <c r="C73" s="48"/>
      <c r="D73" s="48"/>
      <c r="E73" s="48"/>
      <c r="F73" s="48"/>
      <c r="G73" s="48"/>
      <c r="H73" s="48"/>
      <c r="I73" s="48"/>
      <c r="J73" s="48"/>
      <c r="K73" s="48"/>
      <c r="L73" s="63"/>
      <c r="M73" s="63"/>
      <c r="N73" s="63"/>
      <c r="O73" s="63"/>
      <c r="P73" s="63"/>
      <c r="Q73" s="77"/>
      <c r="R73" s="77"/>
      <c r="S73" s="77"/>
      <c r="T73" s="77"/>
      <c r="U73" s="77"/>
      <c r="V73" s="63"/>
      <c r="W73" s="94"/>
      <c r="X73" s="94"/>
      <c r="Y73" s="94"/>
      <c r="Z73" s="94"/>
      <c r="AA73" s="94"/>
      <c r="AB73" s="94"/>
      <c r="AC73" s="105" t="str">
        <f>IFERROR(VLOOKUP(Z73,'【参考】数式用'!$A$4:$B$57,2,FALSE),"")</f>
        <v/>
      </c>
      <c r="AD73" s="108"/>
      <c r="AE73" s="113"/>
      <c r="AF73" s="119">
        <f t="shared" si="0"/>
        <v>0</v>
      </c>
      <c r="AG73" s="122" t="str">
        <f>IF(B73="","",IF(AQ73="総合事業","数式を削除して手入力",IFERROR(INDEX('【参考】数式用'!$AD$3:$AF$452,MATCH(Q73&amp;V73,'【参考】数式用'!$AC$3:$AC$452,0),MATCH(VLOOKUP(Z73,'【参考】数式用'!$AG$2:$AH$56,2,FALSE),'【参考】数式用'!$AD$2:$AF$2,0)),10)))</f>
        <v/>
      </c>
      <c r="AP73" s="127" t="str">
        <f>IF($L$16="","",VLOOKUP(Z73,'【参考】数式用'!$A$2:$O$57,14,FALSE))</f>
        <v/>
      </c>
      <c r="AQ73" s="126" t="e">
        <f>VLOOKUP(Z73,'【参考】数式用'!$A$2:$O$57,15,FALSE)</f>
        <v>#N/A</v>
      </c>
    </row>
    <row r="74" spans="1:43" ht="49.9" customHeight="1">
      <c r="A74" s="29">
        <f t="shared" si="1"/>
        <v>35</v>
      </c>
      <c r="B74" s="42"/>
      <c r="C74" s="48"/>
      <c r="D74" s="48"/>
      <c r="E74" s="48"/>
      <c r="F74" s="48"/>
      <c r="G74" s="48"/>
      <c r="H74" s="48"/>
      <c r="I74" s="48"/>
      <c r="J74" s="48"/>
      <c r="K74" s="48"/>
      <c r="L74" s="63"/>
      <c r="M74" s="63"/>
      <c r="N74" s="63"/>
      <c r="O74" s="63"/>
      <c r="P74" s="63"/>
      <c r="Q74" s="77"/>
      <c r="R74" s="77"/>
      <c r="S74" s="77"/>
      <c r="T74" s="77"/>
      <c r="U74" s="77"/>
      <c r="V74" s="63"/>
      <c r="W74" s="94"/>
      <c r="X74" s="94"/>
      <c r="Y74" s="94"/>
      <c r="Z74" s="94"/>
      <c r="AA74" s="94"/>
      <c r="AB74" s="94"/>
      <c r="AC74" s="105" t="str">
        <f>IFERROR(VLOOKUP(Z74,'【参考】数式用'!$A$4:$B$57,2,FALSE),"")</f>
        <v/>
      </c>
      <c r="AD74" s="108"/>
      <c r="AE74" s="113"/>
      <c r="AF74" s="119">
        <f t="shared" si="0"/>
        <v>0</v>
      </c>
      <c r="AG74" s="122" t="str">
        <f>IF(B74="","",IF(AQ74="総合事業","数式を削除して手入力",IFERROR(INDEX('【参考】数式用'!$AD$3:$AF$452,MATCH(Q74&amp;V74,'【参考】数式用'!$AC$3:$AC$452,0),MATCH(VLOOKUP(Z74,'【参考】数式用'!$AG$2:$AH$56,2,FALSE),'【参考】数式用'!$AD$2:$AF$2,0)),10)))</f>
        <v/>
      </c>
      <c r="AP74" s="127" t="str">
        <f>IF($L$16="","",VLOOKUP(Z74,'【参考】数式用'!$A$2:$O$57,14,FALSE))</f>
        <v/>
      </c>
      <c r="AQ74" s="126" t="e">
        <f>VLOOKUP(Z74,'【参考】数式用'!$A$2:$O$57,15,FALSE)</f>
        <v>#N/A</v>
      </c>
    </row>
    <row r="75" spans="1:43" ht="49.9" customHeight="1">
      <c r="A75" s="29">
        <f t="shared" si="1"/>
        <v>36</v>
      </c>
      <c r="B75" s="42"/>
      <c r="C75" s="48"/>
      <c r="D75" s="48"/>
      <c r="E75" s="48"/>
      <c r="F75" s="48"/>
      <c r="G75" s="48"/>
      <c r="H75" s="48"/>
      <c r="I75" s="48"/>
      <c r="J75" s="48"/>
      <c r="K75" s="48"/>
      <c r="L75" s="63"/>
      <c r="M75" s="63"/>
      <c r="N75" s="63"/>
      <c r="O75" s="63"/>
      <c r="P75" s="63"/>
      <c r="Q75" s="77"/>
      <c r="R75" s="77"/>
      <c r="S75" s="77"/>
      <c r="T75" s="77"/>
      <c r="U75" s="77"/>
      <c r="V75" s="63"/>
      <c r="W75" s="94"/>
      <c r="X75" s="94"/>
      <c r="Y75" s="94"/>
      <c r="Z75" s="94"/>
      <c r="AA75" s="94"/>
      <c r="AB75" s="94"/>
      <c r="AC75" s="105" t="str">
        <f>IFERROR(VLOOKUP(Z75,'【参考】数式用'!$A$4:$B$57,2,FALSE),"")</f>
        <v/>
      </c>
      <c r="AD75" s="108"/>
      <c r="AE75" s="113"/>
      <c r="AF75" s="119">
        <f t="shared" si="0"/>
        <v>0</v>
      </c>
      <c r="AG75" s="122" t="str">
        <f>IF(B75="","",IF(AQ75="総合事業","数式を削除して手入力",IFERROR(INDEX('【参考】数式用'!$AD$3:$AF$452,MATCH(Q75&amp;V75,'【参考】数式用'!$AC$3:$AC$452,0),MATCH(VLOOKUP(Z75,'【参考】数式用'!$AG$2:$AH$56,2,FALSE),'【参考】数式用'!$AD$2:$AF$2,0)),10)))</f>
        <v/>
      </c>
      <c r="AP75" s="127" t="str">
        <f>IF($L$16="","",VLOOKUP(Z75,'【参考】数式用'!$A$2:$O$57,14,FALSE))</f>
        <v/>
      </c>
      <c r="AQ75" s="126" t="e">
        <f>VLOOKUP(Z75,'【参考】数式用'!$A$2:$O$57,15,FALSE)</f>
        <v>#N/A</v>
      </c>
    </row>
    <row r="76" spans="1:43" ht="49.9" customHeight="1">
      <c r="A76" s="29">
        <f t="shared" si="1"/>
        <v>37</v>
      </c>
      <c r="B76" s="42"/>
      <c r="C76" s="48"/>
      <c r="D76" s="48"/>
      <c r="E76" s="48"/>
      <c r="F76" s="48"/>
      <c r="G76" s="48"/>
      <c r="H76" s="48"/>
      <c r="I76" s="48"/>
      <c r="J76" s="48"/>
      <c r="K76" s="48"/>
      <c r="L76" s="63"/>
      <c r="M76" s="63"/>
      <c r="N76" s="63"/>
      <c r="O76" s="63"/>
      <c r="P76" s="63"/>
      <c r="Q76" s="77"/>
      <c r="R76" s="77"/>
      <c r="S76" s="77"/>
      <c r="T76" s="77"/>
      <c r="U76" s="77"/>
      <c r="V76" s="63"/>
      <c r="W76" s="94"/>
      <c r="X76" s="94"/>
      <c r="Y76" s="94"/>
      <c r="Z76" s="94"/>
      <c r="AA76" s="94"/>
      <c r="AB76" s="94"/>
      <c r="AC76" s="105" t="str">
        <f>IFERROR(VLOOKUP(Z76,'【参考】数式用'!$A$4:$B$57,2,FALSE),"")</f>
        <v/>
      </c>
      <c r="AD76" s="108"/>
      <c r="AE76" s="113"/>
      <c r="AF76" s="119">
        <f t="shared" si="0"/>
        <v>0</v>
      </c>
      <c r="AG76" s="122" t="str">
        <f>IF(B76="","",IF(AQ76="総合事業","数式を削除して手入力",IFERROR(INDEX('【参考】数式用'!$AD$3:$AF$452,MATCH(Q76&amp;V76,'【参考】数式用'!$AC$3:$AC$452,0),MATCH(VLOOKUP(Z76,'【参考】数式用'!$AG$2:$AH$56,2,FALSE),'【参考】数式用'!$AD$2:$AF$2,0)),10)))</f>
        <v/>
      </c>
      <c r="AP76" s="127" t="str">
        <f>IF($L$16="","",VLOOKUP(Z76,'【参考】数式用'!$A$2:$O$57,14,FALSE))</f>
        <v/>
      </c>
      <c r="AQ76" s="126" t="e">
        <f>VLOOKUP(Z76,'【参考】数式用'!$A$2:$O$57,15,FALSE)</f>
        <v>#N/A</v>
      </c>
    </row>
    <row r="77" spans="1:43" ht="49.9" customHeight="1">
      <c r="A77" s="29">
        <f t="shared" si="1"/>
        <v>38</v>
      </c>
      <c r="B77" s="42"/>
      <c r="C77" s="48"/>
      <c r="D77" s="48"/>
      <c r="E77" s="48"/>
      <c r="F77" s="48"/>
      <c r="G77" s="48"/>
      <c r="H77" s="48"/>
      <c r="I77" s="48"/>
      <c r="J77" s="48"/>
      <c r="K77" s="48"/>
      <c r="L77" s="63"/>
      <c r="M77" s="63"/>
      <c r="N77" s="63"/>
      <c r="O77" s="63"/>
      <c r="P77" s="63"/>
      <c r="Q77" s="77"/>
      <c r="R77" s="77"/>
      <c r="S77" s="77"/>
      <c r="T77" s="77"/>
      <c r="U77" s="77"/>
      <c r="V77" s="63"/>
      <c r="W77" s="94"/>
      <c r="X77" s="94"/>
      <c r="Y77" s="94"/>
      <c r="Z77" s="94"/>
      <c r="AA77" s="94"/>
      <c r="AB77" s="94"/>
      <c r="AC77" s="105" t="str">
        <f>IFERROR(VLOOKUP(Z77,'【参考】数式用'!$A$4:$B$57,2,FALSE),"")</f>
        <v/>
      </c>
      <c r="AD77" s="108"/>
      <c r="AE77" s="113"/>
      <c r="AF77" s="119">
        <f t="shared" si="0"/>
        <v>0</v>
      </c>
      <c r="AG77" s="122" t="str">
        <f>IF(B77="","",IF(AQ77="総合事業","数式を削除して手入力",IFERROR(INDEX('【参考】数式用'!$AD$3:$AF$452,MATCH(Q77&amp;V77,'【参考】数式用'!$AC$3:$AC$452,0),MATCH(VLOOKUP(Z77,'【参考】数式用'!$AG$2:$AH$56,2,FALSE),'【参考】数式用'!$AD$2:$AF$2,0)),10)))</f>
        <v/>
      </c>
      <c r="AP77" s="127" t="str">
        <f>IF($L$16="","",VLOOKUP(Z77,'【参考】数式用'!$A$2:$O$57,14,FALSE))</f>
        <v/>
      </c>
      <c r="AQ77" s="126" t="e">
        <f>VLOOKUP(Z77,'【参考】数式用'!$A$2:$O$57,15,FALSE)</f>
        <v>#N/A</v>
      </c>
    </row>
    <row r="78" spans="1:43" ht="49.9" customHeight="1">
      <c r="A78" s="29">
        <f t="shared" si="1"/>
        <v>39</v>
      </c>
      <c r="B78" s="42"/>
      <c r="C78" s="48"/>
      <c r="D78" s="48"/>
      <c r="E78" s="48"/>
      <c r="F78" s="48"/>
      <c r="G78" s="48"/>
      <c r="H78" s="48"/>
      <c r="I78" s="48"/>
      <c r="J78" s="48"/>
      <c r="K78" s="48"/>
      <c r="L78" s="63"/>
      <c r="M78" s="63"/>
      <c r="N78" s="63"/>
      <c r="O78" s="63"/>
      <c r="P78" s="63"/>
      <c r="Q78" s="77"/>
      <c r="R78" s="77"/>
      <c r="S78" s="77"/>
      <c r="T78" s="77"/>
      <c r="U78" s="77"/>
      <c r="V78" s="63"/>
      <c r="W78" s="94"/>
      <c r="X78" s="94"/>
      <c r="Y78" s="94"/>
      <c r="Z78" s="94"/>
      <c r="AA78" s="94"/>
      <c r="AB78" s="94"/>
      <c r="AC78" s="105" t="str">
        <f>IFERROR(VLOOKUP(Z78,'【参考】数式用'!$A$4:$B$57,2,FALSE),"")</f>
        <v/>
      </c>
      <c r="AD78" s="108"/>
      <c r="AE78" s="113"/>
      <c r="AF78" s="119">
        <f t="shared" si="0"/>
        <v>0</v>
      </c>
      <c r="AG78" s="122" t="str">
        <f>IF(B78="","",IF(AQ78="総合事業","数式を削除して手入力",IFERROR(INDEX('【参考】数式用'!$AD$3:$AF$452,MATCH(Q78&amp;V78,'【参考】数式用'!$AC$3:$AC$452,0),MATCH(VLOOKUP(Z78,'【参考】数式用'!$AG$2:$AH$56,2,FALSE),'【参考】数式用'!$AD$2:$AF$2,0)),10)))</f>
        <v/>
      </c>
      <c r="AP78" s="127" t="str">
        <f>IF($L$16="","",VLOOKUP(Z78,'【参考】数式用'!$A$2:$O$57,14,FALSE))</f>
        <v/>
      </c>
      <c r="AQ78" s="126" t="e">
        <f>VLOOKUP(Z78,'【参考】数式用'!$A$2:$O$57,15,FALSE)</f>
        <v>#N/A</v>
      </c>
    </row>
    <row r="79" spans="1:43" ht="49.9" customHeight="1">
      <c r="A79" s="29">
        <f t="shared" si="1"/>
        <v>40</v>
      </c>
      <c r="B79" s="42"/>
      <c r="C79" s="48"/>
      <c r="D79" s="48"/>
      <c r="E79" s="48"/>
      <c r="F79" s="48"/>
      <c r="G79" s="48"/>
      <c r="H79" s="48"/>
      <c r="I79" s="48"/>
      <c r="J79" s="48"/>
      <c r="K79" s="48"/>
      <c r="L79" s="63"/>
      <c r="M79" s="63"/>
      <c r="N79" s="63"/>
      <c r="O79" s="63"/>
      <c r="P79" s="63"/>
      <c r="Q79" s="77"/>
      <c r="R79" s="77"/>
      <c r="S79" s="77"/>
      <c r="T79" s="77"/>
      <c r="U79" s="77"/>
      <c r="V79" s="63"/>
      <c r="W79" s="94"/>
      <c r="X79" s="94"/>
      <c r="Y79" s="94"/>
      <c r="Z79" s="94"/>
      <c r="AA79" s="94"/>
      <c r="AB79" s="94"/>
      <c r="AC79" s="105" t="str">
        <f>IFERROR(VLOOKUP(Z79,'【参考】数式用'!$A$4:$B$57,2,FALSE),"")</f>
        <v/>
      </c>
      <c r="AD79" s="108"/>
      <c r="AE79" s="113"/>
      <c r="AF79" s="119">
        <f t="shared" si="0"/>
        <v>0</v>
      </c>
      <c r="AG79" s="122" t="str">
        <f>IF(B79="","",IF(AQ79="総合事業","数式を削除して手入力",IFERROR(INDEX('【参考】数式用'!$AD$3:$AF$452,MATCH(Q79&amp;V79,'【参考】数式用'!$AC$3:$AC$452,0),MATCH(VLOOKUP(Z79,'【参考】数式用'!$AG$2:$AH$56,2,FALSE),'【参考】数式用'!$AD$2:$AF$2,0)),10)))</f>
        <v/>
      </c>
      <c r="AP79" s="127" t="str">
        <f>IF($L$16="","",VLOOKUP(Z79,'【参考】数式用'!$A$2:$O$57,14,FALSE))</f>
        <v/>
      </c>
      <c r="AQ79" s="126" t="e">
        <f>VLOOKUP(Z79,'【参考】数式用'!$A$2:$O$57,15,FALSE)</f>
        <v>#N/A</v>
      </c>
    </row>
    <row r="80" spans="1:43" ht="49.9" customHeight="1">
      <c r="A80" s="29">
        <f t="shared" si="1"/>
        <v>41</v>
      </c>
      <c r="B80" s="42"/>
      <c r="C80" s="48"/>
      <c r="D80" s="48"/>
      <c r="E80" s="48"/>
      <c r="F80" s="48"/>
      <c r="G80" s="48"/>
      <c r="H80" s="48"/>
      <c r="I80" s="48"/>
      <c r="J80" s="48"/>
      <c r="K80" s="48"/>
      <c r="L80" s="63"/>
      <c r="M80" s="63"/>
      <c r="N80" s="63"/>
      <c r="O80" s="63"/>
      <c r="P80" s="63"/>
      <c r="Q80" s="77"/>
      <c r="R80" s="77"/>
      <c r="S80" s="77"/>
      <c r="T80" s="77"/>
      <c r="U80" s="77"/>
      <c r="V80" s="63"/>
      <c r="W80" s="94"/>
      <c r="X80" s="94"/>
      <c r="Y80" s="94"/>
      <c r="Z80" s="94"/>
      <c r="AA80" s="94"/>
      <c r="AB80" s="94"/>
      <c r="AC80" s="105" t="str">
        <f>IFERROR(VLOOKUP(Z80,'【参考】数式用'!$A$4:$B$57,2,FALSE),"")</f>
        <v/>
      </c>
      <c r="AD80" s="108"/>
      <c r="AE80" s="113"/>
      <c r="AF80" s="119">
        <f t="shared" si="0"/>
        <v>0</v>
      </c>
      <c r="AG80" s="122" t="str">
        <f>IF(B80="","",IF(AQ80="総合事業","数式を削除して手入力",IFERROR(INDEX('【参考】数式用'!$AD$3:$AF$452,MATCH(Q80&amp;V80,'【参考】数式用'!$AC$3:$AC$452,0),MATCH(VLOOKUP(Z80,'【参考】数式用'!$AG$2:$AH$56,2,FALSE),'【参考】数式用'!$AD$2:$AF$2,0)),10)))</f>
        <v/>
      </c>
      <c r="AP80" s="127" t="str">
        <f>IF($L$16="","",VLOOKUP(Z80,'【参考】数式用'!$A$2:$O$57,14,FALSE))</f>
        <v/>
      </c>
      <c r="AQ80" s="126" t="e">
        <f>VLOOKUP(Z80,'【参考】数式用'!$A$2:$O$57,15,FALSE)</f>
        <v>#N/A</v>
      </c>
    </row>
    <row r="81" spans="1:43" ht="49.9" customHeight="1">
      <c r="A81" s="29">
        <f t="shared" si="1"/>
        <v>42</v>
      </c>
      <c r="B81" s="42"/>
      <c r="C81" s="48"/>
      <c r="D81" s="48"/>
      <c r="E81" s="48"/>
      <c r="F81" s="48"/>
      <c r="G81" s="48"/>
      <c r="H81" s="48"/>
      <c r="I81" s="48"/>
      <c r="J81" s="48"/>
      <c r="K81" s="48"/>
      <c r="L81" s="63"/>
      <c r="M81" s="63"/>
      <c r="N81" s="63"/>
      <c r="O81" s="63"/>
      <c r="P81" s="63"/>
      <c r="Q81" s="77"/>
      <c r="R81" s="77"/>
      <c r="S81" s="77"/>
      <c r="T81" s="77"/>
      <c r="U81" s="77"/>
      <c r="V81" s="63"/>
      <c r="W81" s="94"/>
      <c r="X81" s="94"/>
      <c r="Y81" s="94"/>
      <c r="Z81" s="94"/>
      <c r="AA81" s="94"/>
      <c r="AB81" s="94"/>
      <c r="AC81" s="105" t="str">
        <f>IFERROR(VLOOKUP(Z81,'【参考】数式用'!$A$4:$B$57,2,FALSE),"")</f>
        <v/>
      </c>
      <c r="AD81" s="108"/>
      <c r="AE81" s="113"/>
      <c r="AF81" s="119">
        <f t="shared" si="0"/>
        <v>0</v>
      </c>
      <c r="AG81" s="122" t="str">
        <f>IF(B81="","",IF(AQ81="総合事業","数式を削除して手入力",IFERROR(INDEX('【参考】数式用'!$AD$3:$AF$452,MATCH(Q81&amp;V81,'【参考】数式用'!$AC$3:$AC$452,0),MATCH(VLOOKUP(Z81,'【参考】数式用'!$AG$2:$AH$56,2,FALSE),'【参考】数式用'!$AD$2:$AF$2,0)),10)))</f>
        <v/>
      </c>
      <c r="AP81" s="127" t="str">
        <f>IF($L$16="","",VLOOKUP(Z81,'【参考】数式用'!$A$2:$O$57,14,FALSE))</f>
        <v/>
      </c>
      <c r="AQ81" s="126" t="e">
        <f>VLOOKUP(Z81,'【参考】数式用'!$A$2:$O$57,15,FALSE)</f>
        <v>#N/A</v>
      </c>
    </row>
    <row r="82" spans="1:43" ht="49.9" customHeight="1">
      <c r="A82" s="29">
        <f t="shared" si="1"/>
        <v>43</v>
      </c>
      <c r="B82" s="42"/>
      <c r="C82" s="48"/>
      <c r="D82" s="48"/>
      <c r="E82" s="48"/>
      <c r="F82" s="48"/>
      <c r="G82" s="48"/>
      <c r="H82" s="48"/>
      <c r="I82" s="48"/>
      <c r="J82" s="48"/>
      <c r="K82" s="48"/>
      <c r="L82" s="63"/>
      <c r="M82" s="63"/>
      <c r="N82" s="63"/>
      <c r="O82" s="63"/>
      <c r="P82" s="63"/>
      <c r="Q82" s="77"/>
      <c r="R82" s="77"/>
      <c r="S82" s="77"/>
      <c r="T82" s="77"/>
      <c r="U82" s="77"/>
      <c r="V82" s="63"/>
      <c r="W82" s="94"/>
      <c r="X82" s="94"/>
      <c r="Y82" s="94"/>
      <c r="Z82" s="94"/>
      <c r="AA82" s="94"/>
      <c r="AB82" s="94"/>
      <c r="AC82" s="105" t="str">
        <f>IFERROR(VLOOKUP(Z82,'【参考】数式用'!$A$4:$B$57,2,FALSE),"")</f>
        <v/>
      </c>
      <c r="AD82" s="108"/>
      <c r="AE82" s="113"/>
      <c r="AF82" s="119">
        <f t="shared" si="0"/>
        <v>0</v>
      </c>
      <c r="AG82" s="122" t="str">
        <f>IF(B82="","",IF(AQ82="総合事業","数式を削除して手入力",IFERROR(INDEX('【参考】数式用'!$AD$3:$AF$452,MATCH(Q82&amp;V82,'【参考】数式用'!$AC$3:$AC$452,0),MATCH(VLOOKUP(Z82,'【参考】数式用'!$AG$2:$AH$56,2,FALSE),'【参考】数式用'!$AD$2:$AF$2,0)),10)))</f>
        <v/>
      </c>
      <c r="AP82" s="127" t="str">
        <f>IF($L$16="","",VLOOKUP(Z82,'【参考】数式用'!$A$2:$O$57,14,FALSE))</f>
        <v/>
      </c>
      <c r="AQ82" s="126" t="e">
        <f>VLOOKUP(Z82,'【参考】数式用'!$A$2:$O$57,15,FALSE)</f>
        <v>#N/A</v>
      </c>
    </row>
    <row r="83" spans="1:43" ht="49.9" customHeight="1">
      <c r="A83" s="29">
        <f t="shared" si="1"/>
        <v>44</v>
      </c>
      <c r="B83" s="42"/>
      <c r="C83" s="48"/>
      <c r="D83" s="48"/>
      <c r="E83" s="48"/>
      <c r="F83" s="48"/>
      <c r="G83" s="48"/>
      <c r="H83" s="48"/>
      <c r="I83" s="48"/>
      <c r="J83" s="48"/>
      <c r="K83" s="48"/>
      <c r="L83" s="63"/>
      <c r="M83" s="63"/>
      <c r="N83" s="63"/>
      <c r="O83" s="63"/>
      <c r="P83" s="63"/>
      <c r="Q83" s="77"/>
      <c r="R83" s="77"/>
      <c r="S83" s="77"/>
      <c r="T83" s="77"/>
      <c r="U83" s="77"/>
      <c r="V83" s="63"/>
      <c r="W83" s="94"/>
      <c r="X83" s="94"/>
      <c r="Y83" s="94"/>
      <c r="Z83" s="94"/>
      <c r="AA83" s="94"/>
      <c r="AB83" s="94"/>
      <c r="AC83" s="105" t="str">
        <f>IFERROR(VLOOKUP(Z83,'【参考】数式用'!$A$4:$B$57,2,FALSE),"")</f>
        <v/>
      </c>
      <c r="AD83" s="108"/>
      <c r="AE83" s="113"/>
      <c r="AF83" s="119">
        <f t="shared" si="0"/>
        <v>0</v>
      </c>
      <c r="AG83" s="122" t="str">
        <f>IF(B83="","",IF(AQ83="総合事業","数式を削除して手入力",IFERROR(INDEX('【参考】数式用'!$AD$3:$AF$452,MATCH(Q83&amp;V83,'【参考】数式用'!$AC$3:$AC$452,0),MATCH(VLOOKUP(Z83,'【参考】数式用'!$AG$2:$AH$56,2,FALSE),'【参考】数式用'!$AD$2:$AF$2,0)),10)))</f>
        <v/>
      </c>
      <c r="AP83" s="127" t="str">
        <f>IF($L$16="","",VLOOKUP(Z83,'【参考】数式用'!$A$2:$O$57,14,FALSE))</f>
        <v/>
      </c>
      <c r="AQ83" s="126" t="e">
        <f>VLOOKUP(Z83,'【参考】数式用'!$A$2:$O$57,15,FALSE)</f>
        <v>#N/A</v>
      </c>
    </row>
    <row r="84" spans="1:43" ht="49.9" customHeight="1">
      <c r="A84" s="29">
        <f t="shared" si="1"/>
        <v>45</v>
      </c>
      <c r="B84" s="42"/>
      <c r="C84" s="48"/>
      <c r="D84" s="48"/>
      <c r="E84" s="48"/>
      <c r="F84" s="48"/>
      <c r="G84" s="48"/>
      <c r="H84" s="48"/>
      <c r="I84" s="48"/>
      <c r="J84" s="48"/>
      <c r="K84" s="48"/>
      <c r="L84" s="63"/>
      <c r="M84" s="63"/>
      <c r="N84" s="63"/>
      <c r="O84" s="63"/>
      <c r="P84" s="63"/>
      <c r="Q84" s="77"/>
      <c r="R84" s="77"/>
      <c r="S84" s="77"/>
      <c r="T84" s="77"/>
      <c r="U84" s="77"/>
      <c r="V84" s="63"/>
      <c r="W84" s="94"/>
      <c r="X84" s="94"/>
      <c r="Y84" s="94"/>
      <c r="Z84" s="94"/>
      <c r="AA84" s="94"/>
      <c r="AB84" s="94"/>
      <c r="AC84" s="105" t="str">
        <f>IFERROR(VLOOKUP(Z84,'【参考】数式用'!$A$4:$B$57,2,FALSE),"")</f>
        <v/>
      </c>
      <c r="AD84" s="108"/>
      <c r="AE84" s="113"/>
      <c r="AF84" s="119">
        <f t="shared" si="0"/>
        <v>0</v>
      </c>
      <c r="AG84" s="122" t="str">
        <f>IF(B84="","",IF(AQ84="総合事業","数式を削除して手入力",IFERROR(INDEX('【参考】数式用'!$AD$3:$AF$452,MATCH(Q84&amp;V84,'【参考】数式用'!$AC$3:$AC$452,0),MATCH(VLOOKUP(Z84,'【参考】数式用'!$AG$2:$AH$56,2,FALSE),'【参考】数式用'!$AD$2:$AF$2,0)),10)))</f>
        <v/>
      </c>
      <c r="AP84" s="127" t="str">
        <f>IF($L$16="","",VLOOKUP(Z84,'【参考】数式用'!$A$2:$O$57,14,FALSE))</f>
        <v/>
      </c>
      <c r="AQ84" s="126" t="e">
        <f>VLOOKUP(Z84,'【参考】数式用'!$A$2:$O$57,15,FALSE)</f>
        <v>#N/A</v>
      </c>
    </row>
    <row r="85" spans="1:43" ht="49.9" customHeight="1">
      <c r="A85" s="29">
        <f t="shared" si="1"/>
        <v>46</v>
      </c>
      <c r="B85" s="42"/>
      <c r="C85" s="48"/>
      <c r="D85" s="48"/>
      <c r="E85" s="48"/>
      <c r="F85" s="48"/>
      <c r="G85" s="48"/>
      <c r="H85" s="48"/>
      <c r="I85" s="48"/>
      <c r="J85" s="48"/>
      <c r="K85" s="48"/>
      <c r="L85" s="63"/>
      <c r="M85" s="63"/>
      <c r="N85" s="63"/>
      <c r="O85" s="63"/>
      <c r="P85" s="63"/>
      <c r="Q85" s="77"/>
      <c r="R85" s="77"/>
      <c r="S85" s="77"/>
      <c r="T85" s="77"/>
      <c r="U85" s="77"/>
      <c r="V85" s="63"/>
      <c r="W85" s="94"/>
      <c r="X85" s="94"/>
      <c r="Y85" s="94"/>
      <c r="Z85" s="94"/>
      <c r="AA85" s="94"/>
      <c r="AB85" s="94"/>
      <c r="AC85" s="105" t="str">
        <f>IFERROR(VLOOKUP(Z85,'【参考】数式用'!$A$4:$B$57,2,FALSE),"")</f>
        <v/>
      </c>
      <c r="AD85" s="108"/>
      <c r="AE85" s="113"/>
      <c r="AF85" s="119">
        <f t="shared" si="0"/>
        <v>0</v>
      </c>
      <c r="AG85" s="122" t="str">
        <f>IF(B85="","",IF(AQ85="総合事業","数式を削除して手入力",IFERROR(INDEX('【参考】数式用'!$AD$3:$AF$452,MATCH(Q85&amp;V85,'【参考】数式用'!$AC$3:$AC$452,0),MATCH(VLOOKUP(Z85,'【参考】数式用'!$AG$2:$AH$56,2,FALSE),'【参考】数式用'!$AD$2:$AF$2,0)),10)))</f>
        <v/>
      </c>
      <c r="AP85" s="127" t="str">
        <f>IF($L$16="","",VLOOKUP(Z85,'【参考】数式用'!$A$2:$O$57,14,FALSE))</f>
        <v/>
      </c>
      <c r="AQ85" s="126" t="e">
        <f>VLOOKUP(Z85,'【参考】数式用'!$A$2:$O$57,15,FALSE)</f>
        <v>#N/A</v>
      </c>
    </row>
    <row r="86" spans="1:43" ht="49.9" customHeight="1">
      <c r="A86" s="29">
        <f t="shared" si="1"/>
        <v>47</v>
      </c>
      <c r="B86" s="42"/>
      <c r="C86" s="48"/>
      <c r="D86" s="48"/>
      <c r="E86" s="48"/>
      <c r="F86" s="48"/>
      <c r="G86" s="48"/>
      <c r="H86" s="48"/>
      <c r="I86" s="48"/>
      <c r="J86" s="48"/>
      <c r="K86" s="48"/>
      <c r="L86" s="63"/>
      <c r="M86" s="63"/>
      <c r="N86" s="63"/>
      <c r="O86" s="63"/>
      <c r="P86" s="63"/>
      <c r="Q86" s="77"/>
      <c r="R86" s="77"/>
      <c r="S86" s="77"/>
      <c r="T86" s="77"/>
      <c r="U86" s="77"/>
      <c r="V86" s="63"/>
      <c r="W86" s="94"/>
      <c r="X86" s="94"/>
      <c r="Y86" s="94"/>
      <c r="Z86" s="94"/>
      <c r="AA86" s="94"/>
      <c r="AB86" s="94"/>
      <c r="AC86" s="105" t="str">
        <f>IFERROR(VLOOKUP(Z86,'【参考】数式用'!$A$4:$B$57,2,FALSE),"")</f>
        <v/>
      </c>
      <c r="AD86" s="108"/>
      <c r="AE86" s="113"/>
      <c r="AF86" s="119">
        <f t="shared" si="0"/>
        <v>0</v>
      </c>
      <c r="AG86" s="122" t="str">
        <f>IF(B86="","",IF(AQ86="総合事業","数式を削除して手入力",IFERROR(INDEX('【参考】数式用'!$AD$3:$AF$452,MATCH(Q86&amp;V86,'【参考】数式用'!$AC$3:$AC$452,0),MATCH(VLOOKUP(Z86,'【参考】数式用'!$AG$2:$AH$56,2,FALSE),'【参考】数式用'!$AD$2:$AF$2,0)),10)))</f>
        <v/>
      </c>
      <c r="AP86" s="127" t="str">
        <f>IF($L$16="","",VLOOKUP(Z86,'【参考】数式用'!$A$2:$O$57,14,FALSE))</f>
        <v/>
      </c>
      <c r="AQ86" s="126" t="e">
        <f>VLOOKUP(Z86,'【参考】数式用'!$A$2:$O$57,15,FALSE)</f>
        <v>#N/A</v>
      </c>
    </row>
    <row r="87" spans="1:43" ht="49.9" customHeight="1">
      <c r="A87" s="29">
        <f t="shared" si="1"/>
        <v>48</v>
      </c>
      <c r="B87" s="42"/>
      <c r="C87" s="48"/>
      <c r="D87" s="48"/>
      <c r="E87" s="48"/>
      <c r="F87" s="48"/>
      <c r="G87" s="48"/>
      <c r="H87" s="48"/>
      <c r="I87" s="48"/>
      <c r="J87" s="48"/>
      <c r="K87" s="48"/>
      <c r="L87" s="63"/>
      <c r="M87" s="63"/>
      <c r="N87" s="63"/>
      <c r="O87" s="63"/>
      <c r="P87" s="63"/>
      <c r="Q87" s="77"/>
      <c r="R87" s="77"/>
      <c r="S87" s="77"/>
      <c r="T87" s="77"/>
      <c r="U87" s="77"/>
      <c r="V87" s="63"/>
      <c r="W87" s="94"/>
      <c r="X87" s="94"/>
      <c r="Y87" s="94"/>
      <c r="Z87" s="94"/>
      <c r="AA87" s="94"/>
      <c r="AB87" s="94"/>
      <c r="AC87" s="105" t="str">
        <f>IFERROR(VLOOKUP(Z87,'【参考】数式用'!$A$4:$B$57,2,FALSE),"")</f>
        <v/>
      </c>
      <c r="AD87" s="108"/>
      <c r="AE87" s="113"/>
      <c r="AF87" s="119">
        <f t="shared" si="0"/>
        <v>0</v>
      </c>
      <c r="AG87" s="122" t="str">
        <f>IF(B87="","",IF(AQ87="総合事業","数式を削除して手入力",IFERROR(INDEX('【参考】数式用'!$AD$3:$AF$452,MATCH(Q87&amp;V87,'【参考】数式用'!$AC$3:$AC$452,0),MATCH(VLOOKUP(Z87,'【参考】数式用'!$AG$2:$AH$56,2,FALSE),'【参考】数式用'!$AD$2:$AF$2,0)),10)))</f>
        <v/>
      </c>
      <c r="AP87" s="127" t="str">
        <f>IF($L$16="","",VLOOKUP(Z87,'【参考】数式用'!$A$2:$O$57,14,FALSE))</f>
        <v/>
      </c>
      <c r="AQ87" s="126" t="e">
        <f>VLOOKUP(Z87,'【参考】数式用'!$A$2:$O$57,15,FALSE)</f>
        <v>#N/A</v>
      </c>
    </row>
    <row r="88" spans="1:43" ht="49.9" customHeight="1">
      <c r="A88" s="29">
        <f t="shared" si="1"/>
        <v>49</v>
      </c>
      <c r="B88" s="42"/>
      <c r="C88" s="48"/>
      <c r="D88" s="48"/>
      <c r="E88" s="48"/>
      <c r="F88" s="48"/>
      <c r="G88" s="48"/>
      <c r="H88" s="48"/>
      <c r="I88" s="48"/>
      <c r="J88" s="48"/>
      <c r="K88" s="48"/>
      <c r="L88" s="63"/>
      <c r="M88" s="63"/>
      <c r="N88" s="63"/>
      <c r="O88" s="63"/>
      <c r="P88" s="63"/>
      <c r="Q88" s="77"/>
      <c r="R88" s="77"/>
      <c r="S88" s="77"/>
      <c r="T88" s="77"/>
      <c r="U88" s="77"/>
      <c r="V88" s="63"/>
      <c r="W88" s="94"/>
      <c r="X88" s="94"/>
      <c r="Y88" s="94"/>
      <c r="Z88" s="94"/>
      <c r="AA88" s="94"/>
      <c r="AB88" s="94"/>
      <c r="AC88" s="105" t="str">
        <f>IFERROR(VLOOKUP(Z88,'【参考】数式用'!$A$4:$B$57,2,FALSE),"")</f>
        <v/>
      </c>
      <c r="AD88" s="108"/>
      <c r="AE88" s="113"/>
      <c r="AF88" s="119">
        <f t="shared" si="0"/>
        <v>0</v>
      </c>
      <c r="AG88" s="122" t="str">
        <f>IF(B88="","",IF(AQ88="総合事業","数式を削除して手入力",IFERROR(INDEX('【参考】数式用'!$AD$3:$AF$452,MATCH(Q88&amp;V88,'【参考】数式用'!$AC$3:$AC$452,0),MATCH(VLOOKUP(Z88,'【参考】数式用'!$AG$2:$AH$56,2,FALSE),'【参考】数式用'!$AD$2:$AF$2,0)),10)))</f>
        <v/>
      </c>
      <c r="AP88" s="127" t="str">
        <f>IF($L$16="","",VLOOKUP(Z88,'【参考】数式用'!$A$2:$O$57,14,FALSE))</f>
        <v/>
      </c>
      <c r="AQ88" s="126" t="e">
        <f>VLOOKUP(Z88,'【参考】数式用'!$A$2:$O$57,15,FALSE)</f>
        <v>#N/A</v>
      </c>
    </row>
    <row r="89" spans="1:43" ht="49.9" customHeight="1">
      <c r="A89" s="29">
        <f t="shared" si="1"/>
        <v>50</v>
      </c>
      <c r="B89" s="42"/>
      <c r="C89" s="48"/>
      <c r="D89" s="48"/>
      <c r="E89" s="48"/>
      <c r="F89" s="48"/>
      <c r="G89" s="48"/>
      <c r="H89" s="48"/>
      <c r="I89" s="48"/>
      <c r="J89" s="48"/>
      <c r="K89" s="48"/>
      <c r="L89" s="63"/>
      <c r="M89" s="63"/>
      <c r="N89" s="63"/>
      <c r="O89" s="63"/>
      <c r="P89" s="63"/>
      <c r="Q89" s="77"/>
      <c r="R89" s="77"/>
      <c r="S89" s="77"/>
      <c r="T89" s="77"/>
      <c r="U89" s="77"/>
      <c r="V89" s="63"/>
      <c r="W89" s="94"/>
      <c r="X89" s="94"/>
      <c r="Y89" s="94"/>
      <c r="Z89" s="94"/>
      <c r="AA89" s="94"/>
      <c r="AB89" s="94"/>
      <c r="AC89" s="105" t="str">
        <f>IFERROR(VLOOKUP(Z89,'【参考】数式用'!$A$4:$B$57,2,FALSE),"")</f>
        <v/>
      </c>
      <c r="AD89" s="108"/>
      <c r="AE89" s="113"/>
      <c r="AF89" s="119">
        <f t="shared" si="0"/>
        <v>0</v>
      </c>
      <c r="AG89" s="122" t="str">
        <f>IF(B89="","",IF(AQ89="総合事業","数式を削除して手入力",IFERROR(INDEX('【参考】数式用'!$AD$3:$AF$452,MATCH(Q89&amp;V89,'【参考】数式用'!$AC$3:$AC$452,0),MATCH(VLOOKUP(Z89,'【参考】数式用'!$AG$2:$AH$56,2,FALSE),'【参考】数式用'!$AD$2:$AF$2,0)),10)))</f>
        <v/>
      </c>
      <c r="AP89" s="127" t="str">
        <f>IF($L$16="","",VLOOKUP(Z89,'【参考】数式用'!$A$2:$O$57,14,FALSE))</f>
        <v/>
      </c>
      <c r="AQ89" s="126" t="e">
        <f>VLOOKUP(Z89,'【参考】数式用'!$A$2:$O$57,15,FALSE)</f>
        <v>#N/A</v>
      </c>
    </row>
    <row r="90" spans="1:43" ht="49.9" customHeight="1">
      <c r="A90" s="29">
        <f t="shared" si="1"/>
        <v>51</v>
      </c>
      <c r="B90" s="42"/>
      <c r="C90" s="48"/>
      <c r="D90" s="48"/>
      <c r="E90" s="48"/>
      <c r="F90" s="48"/>
      <c r="G90" s="48"/>
      <c r="H90" s="48"/>
      <c r="I90" s="48"/>
      <c r="J90" s="48"/>
      <c r="K90" s="48"/>
      <c r="L90" s="63"/>
      <c r="M90" s="63"/>
      <c r="N90" s="63"/>
      <c r="O90" s="63"/>
      <c r="P90" s="63"/>
      <c r="Q90" s="77"/>
      <c r="R90" s="77"/>
      <c r="S90" s="77"/>
      <c r="T90" s="77"/>
      <c r="U90" s="77"/>
      <c r="V90" s="63"/>
      <c r="W90" s="94"/>
      <c r="X90" s="94"/>
      <c r="Y90" s="94"/>
      <c r="Z90" s="94"/>
      <c r="AA90" s="94"/>
      <c r="AB90" s="94"/>
      <c r="AC90" s="105" t="str">
        <f>IFERROR(VLOOKUP(Z90,'【参考】数式用'!$A$4:$B$57,2,FALSE),"")</f>
        <v/>
      </c>
      <c r="AD90" s="108"/>
      <c r="AE90" s="113"/>
      <c r="AF90" s="119">
        <f t="shared" si="0"/>
        <v>0</v>
      </c>
      <c r="AG90" s="122" t="str">
        <f>IF(B90="","",IF(AQ90="総合事業","数式を削除して手入力",IFERROR(INDEX('【参考】数式用'!$AD$3:$AF$452,MATCH(Q90&amp;V90,'【参考】数式用'!$AC$3:$AC$452,0),MATCH(VLOOKUP(Z90,'【参考】数式用'!$AG$2:$AH$56,2,FALSE),'【参考】数式用'!$AD$2:$AF$2,0)),10)))</f>
        <v/>
      </c>
      <c r="AP90" s="127" t="str">
        <f>IF($L$16="","",VLOOKUP(Z90,'【参考】数式用'!$A$2:$O$57,14,FALSE))</f>
        <v/>
      </c>
      <c r="AQ90" s="126" t="e">
        <f>VLOOKUP(Z90,'【参考】数式用'!$A$2:$O$57,15,FALSE)</f>
        <v>#N/A</v>
      </c>
    </row>
    <row r="91" spans="1:43" ht="49.9" customHeight="1">
      <c r="A91" s="29">
        <f t="shared" si="1"/>
        <v>52</v>
      </c>
      <c r="B91" s="42"/>
      <c r="C91" s="48"/>
      <c r="D91" s="48"/>
      <c r="E91" s="48"/>
      <c r="F91" s="48"/>
      <c r="G91" s="48"/>
      <c r="H91" s="48"/>
      <c r="I91" s="48"/>
      <c r="J91" s="48"/>
      <c r="K91" s="48"/>
      <c r="L91" s="63"/>
      <c r="M91" s="63"/>
      <c r="N91" s="63"/>
      <c r="O91" s="63"/>
      <c r="P91" s="63"/>
      <c r="Q91" s="77"/>
      <c r="R91" s="77"/>
      <c r="S91" s="77"/>
      <c r="T91" s="77"/>
      <c r="U91" s="77"/>
      <c r="V91" s="63"/>
      <c r="W91" s="94"/>
      <c r="X91" s="94"/>
      <c r="Y91" s="94"/>
      <c r="Z91" s="94"/>
      <c r="AA91" s="94"/>
      <c r="AB91" s="94"/>
      <c r="AC91" s="105" t="str">
        <f>IFERROR(VLOOKUP(Z91,'【参考】数式用'!$A$4:$B$57,2,FALSE),"")</f>
        <v/>
      </c>
      <c r="AD91" s="108"/>
      <c r="AE91" s="113"/>
      <c r="AF91" s="119">
        <f t="shared" si="0"/>
        <v>0</v>
      </c>
      <c r="AG91" s="122" t="str">
        <f>IF(B91="","",IF(AQ91="総合事業","数式を削除して手入力",IFERROR(INDEX('【参考】数式用'!$AD$3:$AF$452,MATCH(Q91&amp;V91,'【参考】数式用'!$AC$3:$AC$452,0),MATCH(VLOOKUP(Z91,'【参考】数式用'!$AG$2:$AH$56,2,FALSE),'【参考】数式用'!$AD$2:$AF$2,0)),10)))</f>
        <v/>
      </c>
      <c r="AP91" s="127" t="str">
        <f>IF($L$16="","",VLOOKUP(Z91,'【参考】数式用'!$A$2:$O$57,14,FALSE))</f>
        <v/>
      </c>
      <c r="AQ91" s="126" t="e">
        <f>VLOOKUP(Z91,'【参考】数式用'!$A$2:$O$57,15,FALSE)</f>
        <v>#N/A</v>
      </c>
    </row>
    <row r="92" spans="1:43" ht="49.9" customHeight="1">
      <c r="A92" s="29">
        <f t="shared" si="1"/>
        <v>53</v>
      </c>
      <c r="B92" s="42"/>
      <c r="C92" s="48"/>
      <c r="D92" s="48"/>
      <c r="E92" s="48"/>
      <c r="F92" s="48"/>
      <c r="G92" s="48"/>
      <c r="H92" s="48"/>
      <c r="I92" s="48"/>
      <c r="J92" s="48"/>
      <c r="K92" s="48"/>
      <c r="L92" s="63"/>
      <c r="M92" s="63"/>
      <c r="N92" s="63"/>
      <c r="O92" s="63"/>
      <c r="P92" s="63"/>
      <c r="Q92" s="77"/>
      <c r="R92" s="77"/>
      <c r="S92" s="77"/>
      <c r="T92" s="77"/>
      <c r="U92" s="77"/>
      <c r="V92" s="63"/>
      <c r="W92" s="94"/>
      <c r="X92" s="94"/>
      <c r="Y92" s="94"/>
      <c r="Z92" s="94"/>
      <c r="AA92" s="94"/>
      <c r="AB92" s="94"/>
      <c r="AC92" s="105" t="str">
        <f>IFERROR(VLOOKUP(Z92,'【参考】数式用'!$A$4:$B$57,2,FALSE),"")</f>
        <v/>
      </c>
      <c r="AD92" s="108"/>
      <c r="AE92" s="113"/>
      <c r="AF92" s="119">
        <f t="shared" si="0"/>
        <v>0</v>
      </c>
      <c r="AG92" s="122" t="str">
        <f>IF(B92="","",IF(AQ92="総合事業","数式を削除して手入力",IFERROR(INDEX('【参考】数式用'!$AD$3:$AF$452,MATCH(Q92&amp;V92,'【参考】数式用'!$AC$3:$AC$452,0),MATCH(VLOOKUP(Z92,'【参考】数式用'!$AG$2:$AH$56,2,FALSE),'【参考】数式用'!$AD$2:$AF$2,0)),10)))</f>
        <v/>
      </c>
      <c r="AP92" s="127" t="str">
        <f>IF($L$16="","",VLOOKUP(Z92,'【参考】数式用'!$A$2:$O$57,14,FALSE))</f>
        <v/>
      </c>
      <c r="AQ92" s="126" t="e">
        <f>VLOOKUP(Z92,'【参考】数式用'!$A$2:$O$57,15,FALSE)</f>
        <v>#N/A</v>
      </c>
    </row>
    <row r="93" spans="1:43" ht="49.9" customHeight="1">
      <c r="A93" s="29">
        <f t="shared" si="1"/>
        <v>54</v>
      </c>
      <c r="B93" s="42"/>
      <c r="C93" s="48"/>
      <c r="D93" s="48"/>
      <c r="E93" s="48"/>
      <c r="F93" s="48"/>
      <c r="G93" s="48"/>
      <c r="H93" s="48"/>
      <c r="I93" s="48"/>
      <c r="J93" s="48"/>
      <c r="K93" s="48"/>
      <c r="L93" s="63"/>
      <c r="M93" s="63"/>
      <c r="N93" s="63"/>
      <c r="O93" s="63"/>
      <c r="P93" s="63"/>
      <c r="Q93" s="77"/>
      <c r="R93" s="77"/>
      <c r="S93" s="77"/>
      <c r="T93" s="77"/>
      <c r="U93" s="77"/>
      <c r="V93" s="63"/>
      <c r="W93" s="94"/>
      <c r="X93" s="94"/>
      <c r="Y93" s="94"/>
      <c r="Z93" s="94"/>
      <c r="AA93" s="94"/>
      <c r="AB93" s="94"/>
      <c r="AC93" s="105" t="str">
        <f>IFERROR(VLOOKUP(Z93,'【参考】数式用'!$A$4:$B$57,2,FALSE),"")</f>
        <v/>
      </c>
      <c r="AD93" s="108"/>
      <c r="AE93" s="113"/>
      <c r="AF93" s="119">
        <f t="shared" si="0"/>
        <v>0</v>
      </c>
      <c r="AG93" s="122" t="str">
        <f>IF(B93="","",IF(AQ93="総合事業","数式を削除して手入力",IFERROR(INDEX('【参考】数式用'!$AD$3:$AF$452,MATCH(Q93&amp;V93,'【参考】数式用'!$AC$3:$AC$452,0),MATCH(VLOOKUP(Z93,'【参考】数式用'!$AG$2:$AH$56,2,FALSE),'【参考】数式用'!$AD$2:$AF$2,0)),10)))</f>
        <v/>
      </c>
      <c r="AP93" s="127" t="str">
        <f>IF($L$16="","",VLOOKUP(Z93,'【参考】数式用'!$A$2:$O$57,14,FALSE))</f>
        <v/>
      </c>
      <c r="AQ93" s="126" t="e">
        <f>VLOOKUP(Z93,'【参考】数式用'!$A$2:$O$57,15,FALSE)</f>
        <v>#N/A</v>
      </c>
    </row>
    <row r="94" spans="1:43" ht="49.9" customHeight="1">
      <c r="A94" s="29">
        <f t="shared" si="1"/>
        <v>55</v>
      </c>
      <c r="B94" s="42"/>
      <c r="C94" s="48"/>
      <c r="D94" s="48"/>
      <c r="E94" s="48"/>
      <c r="F94" s="48"/>
      <c r="G94" s="48"/>
      <c r="H94" s="48"/>
      <c r="I94" s="48"/>
      <c r="J94" s="48"/>
      <c r="K94" s="48"/>
      <c r="L94" s="63"/>
      <c r="M94" s="63"/>
      <c r="N94" s="63"/>
      <c r="O94" s="63"/>
      <c r="P94" s="63"/>
      <c r="Q94" s="77"/>
      <c r="R94" s="77"/>
      <c r="S94" s="77"/>
      <c r="T94" s="77"/>
      <c r="U94" s="77"/>
      <c r="V94" s="63"/>
      <c r="W94" s="94"/>
      <c r="X94" s="94"/>
      <c r="Y94" s="94"/>
      <c r="Z94" s="94"/>
      <c r="AA94" s="94"/>
      <c r="AB94" s="94"/>
      <c r="AC94" s="105" t="str">
        <f>IFERROR(VLOOKUP(Z94,'【参考】数式用'!$A$4:$B$57,2,FALSE),"")</f>
        <v/>
      </c>
      <c r="AD94" s="108"/>
      <c r="AE94" s="113"/>
      <c r="AF94" s="119">
        <f t="shared" si="0"/>
        <v>0</v>
      </c>
      <c r="AG94" s="122" t="str">
        <f>IF(B94="","",IF(AQ94="総合事業","数式を削除して手入力",IFERROR(INDEX('【参考】数式用'!$AD$3:$AF$452,MATCH(Q94&amp;V94,'【参考】数式用'!$AC$3:$AC$452,0),MATCH(VLOOKUP(Z94,'【参考】数式用'!$AG$2:$AH$56,2,FALSE),'【参考】数式用'!$AD$2:$AF$2,0)),10)))</f>
        <v/>
      </c>
      <c r="AP94" s="127" t="str">
        <f>IF($L$16="","",VLOOKUP(Z94,'【参考】数式用'!$A$2:$O$57,14,FALSE))</f>
        <v/>
      </c>
      <c r="AQ94" s="126" t="e">
        <f>VLOOKUP(Z94,'【参考】数式用'!$A$2:$O$57,15,FALSE)</f>
        <v>#N/A</v>
      </c>
    </row>
    <row r="95" spans="1:43" ht="49.9" customHeight="1">
      <c r="A95" s="29">
        <f t="shared" si="1"/>
        <v>56</v>
      </c>
      <c r="B95" s="42"/>
      <c r="C95" s="48"/>
      <c r="D95" s="48"/>
      <c r="E95" s="48"/>
      <c r="F95" s="48"/>
      <c r="G95" s="48"/>
      <c r="H95" s="48"/>
      <c r="I95" s="48"/>
      <c r="J95" s="48"/>
      <c r="K95" s="48"/>
      <c r="L95" s="63"/>
      <c r="M95" s="63"/>
      <c r="N95" s="63"/>
      <c r="O95" s="63"/>
      <c r="P95" s="63"/>
      <c r="Q95" s="77"/>
      <c r="R95" s="77"/>
      <c r="S95" s="77"/>
      <c r="T95" s="77"/>
      <c r="U95" s="77"/>
      <c r="V95" s="63"/>
      <c r="W95" s="94"/>
      <c r="X95" s="94"/>
      <c r="Y95" s="94"/>
      <c r="Z95" s="94"/>
      <c r="AA95" s="94"/>
      <c r="AB95" s="94"/>
      <c r="AC95" s="105" t="str">
        <f>IFERROR(VLOOKUP(Z95,'【参考】数式用'!$A$4:$B$57,2,FALSE),"")</f>
        <v/>
      </c>
      <c r="AD95" s="108"/>
      <c r="AE95" s="113"/>
      <c r="AF95" s="119">
        <f t="shared" si="0"/>
        <v>0</v>
      </c>
      <c r="AG95" s="122" t="str">
        <f>IF(B95="","",IF(AQ95="総合事業","数式を削除して手入力",IFERROR(INDEX('【参考】数式用'!$AD$3:$AF$452,MATCH(Q95&amp;V95,'【参考】数式用'!$AC$3:$AC$452,0),MATCH(VLOOKUP(Z95,'【参考】数式用'!$AG$2:$AH$56,2,FALSE),'【参考】数式用'!$AD$2:$AF$2,0)),10)))</f>
        <v/>
      </c>
      <c r="AP95" s="127" t="str">
        <f>IF($L$16="","",VLOOKUP(Z95,'【参考】数式用'!$A$2:$O$57,14,FALSE))</f>
        <v/>
      </c>
      <c r="AQ95" s="126" t="e">
        <f>VLOOKUP(Z95,'【参考】数式用'!$A$2:$O$57,15,FALSE)</f>
        <v>#N/A</v>
      </c>
    </row>
    <row r="96" spans="1:43" ht="49.9" customHeight="1">
      <c r="A96" s="29">
        <f t="shared" si="1"/>
        <v>57</v>
      </c>
      <c r="B96" s="42"/>
      <c r="C96" s="48"/>
      <c r="D96" s="48"/>
      <c r="E96" s="48"/>
      <c r="F96" s="48"/>
      <c r="G96" s="48"/>
      <c r="H96" s="48"/>
      <c r="I96" s="48"/>
      <c r="J96" s="48"/>
      <c r="K96" s="48"/>
      <c r="L96" s="63"/>
      <c r="M96" s="63"/>
      <c r="N96" s="63"/>
      <c r="O96" s="63"/>
      <c r="P96" s="63"/>
      <c r="Q96" s="77"/>
      <c r="R96" s="77"/>
      <c r="S96" s="77"/>
      <c r="T96" s="77"/>
      <c r="U96" s="77"/>
      <c r="V96" s="63"/>
      <c r="W96" s="94"/>
      <c r="X96" s="94"/>
      <c r="Y96" s="94"/>
      <c r="Z96" s="94"/>
      <c r="AA96" s="94"/>
      <c r="AB96" s="94"/>
      <c r="AC96" s="105" t="str">
        <f>IFERROR(VLOOKUP(Z96,'【参考】数式用'!$A$4:$B$57,2,FALSE),"")</f>
        <v/>
      </c>
      <c r="AD96" s="108"/>
      <c r="AE96" s="113"/>
      <c r="AF96" s="119">
        <f t="shared" si="0"/>
        <v>0</v>
      </c>
      <c r="AG96" s="122" t="str">
        <f>IF(B96="","",IF(AQ96="総合事業","数式を削除して手入力",IFERROR(INDEX('【参考】数式用'!$AD$3:$AF$452,MATCH(Q96&amp;V96,'【参考】数式用'!$AC$3:$AC$452,0),MATCH(VLOOKUP(Z96,'【参考】数式用'!$AG$2:$AH$56,2,FALSE),'【参考】数式用'!$AD$2:$AF$2,0)),10)))</f>
        <v/>
      </c>
      <c r="AP96" s="127" t="str">
        <f>IF($L$16="","",VLOOKUP(Z96,'【参考】数式用'!$A$2:$O$57,14,FALSE))</f>
        <v/>
      </c>
      <c r="AQ96" s="126" t="e">
        <f>VLOOKUP(Z96,'【参考】数式用'!$A$2:$O$57,15,FALSE)</f>
        <v>#N/A</v>
      </c>
    </row>
    <row r="97" spans="1:43" ht="49.9" customHeight="1">
      <c r="A97" s="29">
        <f t="shared" si="1"/>
        <v>58</v>
      </c>
      <c r="B97" s="42"/>
      <c r="C97" s="48"/>
      <c r="D97" s="48"/>
      <c r="E97" s="48"/>
      <c r="F97" s="48"/>
      <c r="G97" s="48"/>
      <c r="H97" s="48"/>
      <c r="I97" s="48"/>
      <c r="J97" s="48"/>
      <c r="K97" s="48"/>
      <c r="L97" s="63"/>
      <c r="M97" s="63"/>
      <c r="N97" s="63"/>
      <c r="O97" s="63"/>
      <c r="P97" s="63"/>
      <c r="Q97" s="77"/>
      <c r="R97" s="77"/>
      <c r="S97" s="77"/>
      <c r="T97" s="77"/>
      <c r="U97" s="77"/>
      <c r="V97" s="63"/>
      <c r="W97" s="94"/>
      <c r="X97" s="94"/>
      <c r="Y97" s="94"/>
      <c r="Z97" s="94"/>
      <c r="AA97" s="94"/>
      <c r="AB97" s="94"/>
      <c r="AC97" s="105" t="str">
        <f>IFERROR(VLOOKUP(Z97,'【参考】数式用'!$A$4:$B$57,2,FALSE),"")</f>
        <v/>
      </c>
      <c r="AD97" s="108"/>
      <c r="AE97" s="113"/>
      <c r="AF97" s="119">
        <f t="shared" si="0"/>
        <v>0</v>
      </c>
      <c r="AG97" s="122" t="str">
        <f>IF(B97="","",IF(AQ97="総合事業","数式を削除して手入力",IFERROR(INDEX('【参考】数式用'!$AD$3:$AF$452,MATCH(Q97&amp;V97,'【参考】数式用'!$AC$3:$AC$452,0),MATCH(VLOOKUP(Z97,'【参考】数式用'!$AG$2:$AH$56,2,FALSE),'【参考】数式用'!$AD$2:$AF$2,0)),10)))</f>
        <v/>
      </c>
      <c r="AP97" s="127" t="str">
        <f>IF($L$16="","",VLOOKUP(Z97,'【参考】数式用'!$A$2:$O$57,14,FALSE))</f>
        <v/>
      </c>
      <c r="AQ97" s="126" t="e">
        <f>VLOOKUP(Z97,'【参考】数式用'!$A$2:$O$57,15,FALSE)</f>
        <v>#N/A</v>
      </c>
    </row>
    <row r="98" spans="1:43" ht="49.9" customHeight="1">
      <c r="A98" s="29">
        <f t="shared" si="1"/>
        <v>59</v>
      </c>
      <c r="B98" s="42"/>
      <c r="C98" s="48"/>
      <c r="D98" s="48"/>
      <c r="E98" s="48"/>
      <c r="F98" s="48"/>
      <c r="G98" s="48"/>
      <c r="H98" s="48"/>
      <c r="I98" s="48"/>
      <c r="J98" s="48"/>
      <c r="K98" s="48"/>
      <c r="L98" s="63"/>
      <c r="M98" s="63"/>
      <c r="N98" s="63"/>
      <c r="O98" s="63"/>
      <c r="P98" s="63"/>
      <c r="Q98" s="77"/>
      <c r="R98" s="77"/>
      <c r="S98" s="77"/>
      <c r="T98" s="77"/>
      <c r="U98" s="77"/>
      <c r="V98" s="63"/>
      <c r="W98" s="94"/>
      <c r="X98" s="94"/>
      <c r="Y98" s="94"/>
      <c r="Z98" s="94"/>
      <c r="AA98" s="94"/>
      <c r="AB98" s="94"/>
      <c r="AC98" s="105" t="str">
        <f>IFERROR(VLOOKUP(Z98,'【参考】数式用'!$A$4:$B$57,2,FALSE),"")</f>
        <v/>
      </c>
      <c r="AD98" s="108"/>
      <c r="AE98" s="113"/>
      <c r="AF98" s="119">
        <f t="shared" si="0"/>
        <v>0</v>
      </c>
      <c r="AG98" s="122" t="str">
        <f>IF(B98="","",IF(AQ98="総合事業","数式を削除して手入力",IFERROR(INDEX('【参考】数式用'!$AD$3:$AF$452,MATCH(Q98&amp;V98,'【参考】数式用'!$AC$3:$AC$452,0),MATCH(VLOOKUP(Z98,'【参考】数式用'!$AG$2:$AH$56,2,FALSE),'【参考】数式用'!$AD$2:$AF$2,0)),10)))</f>
        <v/>
      </c>
      <c r="AP98" s="127" t="str">
        <f>IF($L$16="","",VLOOKUP(Z98,'【参考】数式用'!$A$2:$O$57,14,FALSE))</f>
        <v/>
      </c>
      <c r="AQ98" s="126" t="e">
        <f>VLOOKUP(Z98,'【参考】数式用'!$A$2:$O$57,15,FALSE)</f>
        <v>#N/A</v>
      </c>
    </row>
    <row r="99" spans="1:43" ht="49.9" customHeight="1">
      <c r="A99" s="29">
        <f t="shared" si="1"/>
        <v>60</v>
      </c>
      <c r="B99" s="42"/>
      <c r="C99" s="48"/>
      <c r="D99" s="48"/>
      <c r="E99" s="48"/>
      <c r="F99" s="48"/>
      <c r="G99" s="48"/>
      <c r="H99" s="48"/>
      <c r="I99" s="48"/>
      <c r="J99" s="48"/>
      <c r="K99" s="48"/>
      <c r="L99" s="63"/>
      <c r="M99" s="63"/>
      <c r="N99" s="63"/>
      <c r="O99" s="63"/>
      <c r="P99" s="63"/>
      <c r="Q99" s="77"/>
      <c r="R99" s="77"/>
      <c r="S99" s="77"/>
      <c r="T99" s="77"/>
      <c r="U99" s="77"/>
      <c r="V99" s="63"/>
      <c r="W99" s="94"/>
      <c r="X99" s="94"/>
      <c r="Y99" s="94"/>
      <c r="Z99" s="94"/>
      <c r="AA99" s="94"/>
      <c r="AB99" s="94"/>
      <c r="AC99" s="105" t="str">
        <f>IFERROR(VLOOKUP(Z99,'【参考】数式用'!$A$4:$B$57,2,FALSE),"")</f>
        <v/>
      </c>
      <c r="AD99" s="108"/>
      <c r="AE99" s="113"/>
      <c r="AF99" s="119">
        <f t="shared" si="0"/>
        <v>0</v>
      </c>
      <c r="AG99" s="122" t="str">
        <f>IF(B99="","",IF(AQ99="総合事業","数式を削除して手入力",IFERROR(INDEX('【参考】数式用'!$AD$3:$AF$452,MATCH(Q99&amp;V99,'【参考】数式用'!$AC$3:$AC$452,0),MATCH(VLOOKUP(Z99,'【参考】数式用'!$AG$2:$AH$56,2,FALSE),'【参考】数式用'!$AD$2:$AF$2,0)),10)))</f>
        <v/>
      </c>
      <c r="AP99" s="127" t="str">
        <f>IF($L$16="","",VLOOKUP(Z99,'【参考】数式用'!$A$2:$O$57,14,FALSE))</f>
        <v/>
      </c>
      <c r="AQ99" s="126" t="e">
        <f>VLOOKUP(Z99,'【参考】数式用'!$A$2:$O$57,15,FALSE)</f>
        <v>#N/A</v>
      </c>
    </row>
    <row r="100" spans="1:43" ht="49.9" customHeight="1">
      <c r="A100" s="29">
        <f t="shared" si="1"/>
        <v>61</v>
      </c>
      <c r="B100" s="42"/>
      <c r="C100" s="48"/>
      <c r="D100" s="48"/>
      <c r="E100" s="48"/>
      <c r="F100" s="48"/>
      <c r="G100" s="48"/>
      <c r="H100" s="48"/>
      <c r="I100" s="48"/>
      <c r="J100" s="48"/>
      <c r="K100" s="48"/>
      <c r="L100" s="63"/>
      <c r="M100" s="63"/>
      <c r="N100" s="63"/>
      <c r="O100" s="63"/>
      <c r="P100" s="63"/>
      <c r="Q100" s="77"/>
      <c r="R100" s="77"/>
      <c r="S100" s="77"/>
      <c r="T100" s="77"/>
      <c r="U100" s="77"/>
      <c r="V100" s="63"/>
      <c r="W100" s="94"/>
      <c r="X100" s="94"/>
      <c r="Y100" s="94"/>
      <c r="Z100" s="94"/>
      <c r="AA100" s="94"/>
      <c r="AB100" s="94"/>
      <c r="AC100" s="105" t="str">
        <f>IFERROR(VLOOKUP(Z100,'【参考】数式用'!$A$4:$B$57,2,FALSE),"")</f>
        <v/>
      </c>
      <c r="AD100" s="108"/>
      <c r="AE100" s="113"/>
      <c r="AF100" s="119">
        <f t="shared" si="0"/>
        <v>0</v>
      </c>
      <c r="AG100" s="122" t="str">
        <f>IF(B100="","",IF(AQ100="総合事業","数式を削除して手入力",IFERROR(INDEX('【参考】数式用'!$AD$3:$AF$452,MATCH(Q100&amp;V100,'【参考】数式用'!$AC$3:$AC$452,0),MATCH(VLOOKUP(Z100,'【参考】数式用'!$AG$2:$AH$56,2,FALSE),'【参考】数式用'!$AD$2:$AF$2,0)),10)))</f>
        <v/>
      </c>
      <c r="AP100" s="127" t="str">
        <f>IF($L$16="","",VLOOKUP(Z100,'【参考】数式用'!$A$2:$O$57,14,FALSE))</f>
        <v/>
      </c>
      <c r="AQ100" s="126" t="e">
        <f>VLOOKUP(Z100,'【参考】数式用'!$A$2:$O$57,15,FALSE)</f>
        <v>#N/A</v>
      </c>
    </row>
    <row r="101" spans="1:43" ht="49.9" customHeight="1">
      <c r="A101" s="29">
        <f t="shared" si="1"/>
        <v>62</v>
      </c>
      <c r="B101" s="42"/>
      <c r="C101" s="48"/>
      <c r="D101" s="48"/>
      <c r="E101" s="48"/>
      <c r="F101" s="48"/>
      <c r="G101" s="48"/>
      <c r="H101" s="48"/>
      <c r="I101" s="48"/>
      <c r="J101" s="48"/>
      <c r="K101" s="48"/>
      <c r="L101" s="63"/>
      <c r="M101" s="63"/>
      <c r="N101" s="63"/>
      <c r="O101" s="63"/>
      <c r="P101" s="63"/>
      <c r="Q101" s="77"/>
      <c r="R101" s="77"/>
      <c r="S101" s="77"/>
      <c r="T101" s="77"/>
      <c r="U101" s="77"/>
      <c r="V101" s="63"/>
      <c r="W101" s="94"/>
      <c r="X101" s="94"/>
      <c r="Y101" s="94"/>
      <c r="Z101" s="94"/>
      <c r="AA101" s="94"/>
      <c r="AB101" s="94"/>
      <c r="AC101" s="105" t="str">
        <f>IFERROR(VLOOKUP(Z101,'【参考】数式用'!$A$4:$B$57,2,FALSE),"")</f>
        <v/>
      </c>
      <c r="AD101" s="108"/>
      <c r="AE101" s="113"/>
      <c r="AF101" s="119">
        <f t="shared" si="0"/>
        <v>0</v>
      </c>
      <c r="AG101" s="122" t="str">
        <f>IF(B101="","",IF(AQ101="総合事業","数式を削除して手入力",IFERROR(INDEX('【参考】数式用'!$AD$3:$AF$452,MATCH(Q101&amp;V101,'【参考】数式用'!$AC$3:$AC$452,0),MATCH(VLOOKUP(Z101,'【参考】数式用'!$AG$2:$AH$56,2,FALSE),'【参考】数式用'!$AD$2:$AF$2,0)),10)))</f>
        <v/>
      </c>
      <c r="AP101" s="127" t="str">
        <f>IF($L$16="","",VLOOKUP(Z101,'【参考】数式用'!$A$2:$O$57,14,FALSE))</f>
        <v/>
      </c>
      <c r="AQ101" s="126" t="e">
        <f>VLOOKUP(Z101,'【参考】数式用'!$A$2:$O$57,15,FALSE)</f>
        <v>#N/A</v>
      </c>
    </row>
    <row r="102" spans="1:43" ht="49.9" customHeight="1">
      <c r="A102" s="29">
        <f t="shared" si="1"/>
        <v>63</v>
      </c>
      <c r="B102" s="42"/>
      <c r="C102" s="48"/>
      <c r="D102" s="48"/>
      <c r="E102" s="48"/>
      <c r="F102" s="48"/>
      <c r="G102" s="48"/>
      <c r="H102" s="48"/>
      <c r="I102" s="48"/>
      <c r="J102" s="48"/>
      <c r="K102" s="48"/>
      <c r="L102" s="63"/>
      <c r="M102" s="63"/>
      <c r="N102" s="63"/>
      <c r="O102" s="63"/>
      <c r="P102" s="63"/>
      <c r="Q102" s="77"/>
      <c r="R102" s="77"/>
      <c r="S102" s="77"/>
      <c r="T102" s="77"/>
      <c r="U102" s="77"/>
      <c r="V102" s="63"/>
      <c r="W102" s="94"/>
      <c r="X102" s="94"/>
      <c r="Y102" s="94"/>
      <c r="Z102" s="94"/>
      <c r="AA102" s="94"/>
      <c r="AB102" s="94"/>
      <c r="AC102" s="105" t="str">
        <f>IFERROR(VLOOKUP(Z102,'【参考】数式用'!$A$4:$B$57,2,FALSE),"")</f>
        <v/>
      </c>
      <c r="AD102" s="108"/>
      <c r="AE102" s="113"/>
      <c r="AF102" s="119">
        <f t="shared" si="0"/>
        <v>0</v>
      </c>
      <c r="AG102" s="122" t="str">
        <f>IF(B102="","",IF(AQ102="総合事業","数式を削除して手入力",IFERROR(INDEX('【参考】数式用'!$AD$3:$AF$452,MATCH(Q102&amp;V102,'【参考】数式用'!$AC$3:$AC$452,0),MATCH(VLOOKUP(Z102,'【参考】数式用'!$AG$2:$AH$56,2,FALSE),'【参考】数式用'!$AD$2:$AF$2,0)),10)))</f>
        <v/>
      </c>
      <c r="AP102" s="127" t="str">
        <f>IF($L$16="","",VLOOKUP(Z102,'【参考】数式用'!$A$2:$O$57,14,FALSE))</f>
        <v/>
      </c>
      <c r="AQ102" s="126" t="e">
        <f>VLOOKUP(Z102,'【参考】数式用'!$A$2:$O$57,15,FALSE)</f>
        <v>#N/A</v>
      </c>
    </row>
    <row r="103" spans="1:43" ht="49.9" customHeight="1">
      <c r="A103" s="29">
        <f t="shared" si="1"/>
        <v>64</v>
      </c>
      <c r="B103" s="42"/>
      <c r="C103" s="48"/>
      <c r="D103" s="48"/>
      <c r="E103" s="48"/>
      <c r="F103" s="48"/>
      <c r="G103" s="48"/>
      <c r="H103" s="48"/>
      <c r="I103" s="48"/>
      <c r="J103" s="48"/>
      <c r="K103" s="48"/>
      <c r="L103" s="63"/>
      <c r="M103" s="63"/>
      <c r="N103" s="63"/>
      <c r="O103" s="63"/>
      <c r="P103" s="63"/>
      <c r="Q103" s="77"/>
      <c r="R103" s="77"/>
      <c r="S103" s="77"/>
      <c r="T103" s="77"/>
      <c r="U103" s="77"/>
      <c r="V103" s="63"/>
      <c r="W103" s="94"/>
      <c r="X103" s="94"/>
      <c r="Y103" s="94"/>
      <c r="Z103" s="94"/>
      <c r="AA103" s="94"/>
      <c r="AB103" s="94"/>
      <c r="AC103" s="105" t="str">
        <f>IFERROR(VLOOKUP(Z103,'【参考】数式用'!$A$4:$B$57,2,FALSE),"")</f>
        <v/>
      </c>
      <c r="AD103" s="108"/>
      <c r="AE103" s="113"/>
      <c r="AF103" s="119">
        <f t="shared" si="0"/>
        <v>0</v>
      </c>
      <c r="AG103" s="122" t="str">
        <f>IF(B103="","",IF(AQ103="総合事業","数式を削除して手入力",IFERROR(INDEX('【参考】数式用'!$AD$3:$AF$452,MATCH(Q103&amp;V103,'【参考】数式用'!$AC$3:$AC$452,0),MATCH(VLOOKUP(Z103,'【参考】数式用'!$AG$2:$AH$56,2,FALSE),'【参考】数式用'!$AD$2:$AF$2,0)),10)))</f>
        <v/>
      </c>
      <c r="AP103" s="127" t="str">
        <f>IF($L$16="","",VLOOKUP(Z103,'【参考】数式用'!$A$2:$O$57,14,FALSE))</f>
        <v/>
      </c>
      <c r="AQ103" s="126" t="e">
        <f>VLOOKUP(Z103,'【参考】数式用'!$A$2:$O$57,15,FALSE)</f>
        <v>#N/A</v>
      </c>
    </row>
    <row r="104" spans="1:43" ht="49.9" customHeight="1">
      <c r="A104" s="29">
        <f t="shared" si="1"/>
        <v>65</v>
      </c>
      <c r="B104" s="42"/>
      <c r="C104" s="48"/>
      <c r="D104" s="48"/>
      <c r="E104" s="48"/>
      <c r="F104" s="48"/>
      <c r="G104" s="48"/>
      <c r="H104" s="48"/>
      <c r="I104" s="48"/>
      <c r="J104" s="48"/>
      <c r="K104" s="48"/>
      <c r="L104" s="63"/>
      <c r="M104" s="63"/>
      <c r="N104" s="63"/>
      <c r="O104" s="63"/>
      <c r="P104" s="63"/>
      <c r="Q104" s="77"/>
      <c r="R104" s="77"/>
      <c r="S104" s="77"/>
      <c r="T104" s="77"/>
      <c r="U104" s="77"/>
      <c r="V104" s="63"/>
      <c r="W104" s="94"/>
      <c r="X104" s="94"/>
      <c r="Y104" s="94"/>
      <c r="Z104" s="94"/>
      <c r="AA104" s="94"/>
      <c r="AB104" s="94"/>
      <c r="AC104" s="105" t="str">
        <f>IFERROR(VLOOKUP(Z104,'【参考】数式用'!$A$4:$B$57,2,FALSE),"")</f>
        <v/>
      </c>
      <c r="AD104" s="108"/>
      <c r="AE104" s="113"/>
      <c r="AF104" s="119">
        <f t="shared" ref="AF104:AF139" si="2">AD104-AE104</f>
        <v>0</v>
      </c>
      <c r="AG104" s="122" t="str">
        <f>IF(B104="","",IF(AQ104="総合事業","数式を削除して手入力",IFERROR(INDEX('【参考】数式用'!$AD$3:$AF$452,MATCH(Q104&amp;V104,'【参考】数式用'!$AC$3:$AC$452,0),MATCH(VLOOKUP(Z104,'【参考】数式用'!$AG$2:$AH$56,2,FALSE),'【参考】数式用'!$AD$2:$AF$2,0)),10)))</f>
        <v/>
      </c>
      <c r="AP104" s="127" t="str">
        <f>IF($L$16="","",VLOOKUP(Z104,'【参考】数式用'!$A$2:$O$57,14,FALSE))</f>
        <v/>
      </c>
      <c r="AQ104" s="126" t="e">
        <f>VLOOKUP(Z104,'【参考】数式用'!$A$2:$O$57,15,FALSE)</f>
        <v>#N/A</v>
      </c>
    </row>
    <row r="105" spans="1:43" ht="49.9" customHeight="1">
      <c r="A105" s="29">
        <f t="shared" ref="A105:A139" si="3">A104+1</f>
        <v>66</v>
      </c>
      <c r="B105" s="42"/>
      <c r="C105" s="48"/>
      <c r="D105" s="48"/>
      <c r="E105" s="48"/>
      <c r="F105" s="48"/>
      <c r="G105" s="48"/>
      <c r="H105" s="48"/>
      <c r="I105" s="48"/>
      <c r="J105" s="48"/>
      <c r="K105" s="48"/>
      <c r="L105" s="63"/>
      <c r="M105" s="63"/>
      <c r="N105" s="63"/>
      <c r="O105" s="63"/>
      <c r="P105" s="63"/>
      <c r="Q105" s="77"/>
      <c r="R105" s="77"/>
      <c r="S105" s="77"/>
      <c r="T105" s="77"/>
      <c r="U105" s="77"/>
      <c r="V105" s="63"/>
      <c r="W105" s="94"/>
      <c r="X105" s="94"/>
      <c r="Y105" s="94"/>
      <c r="Z105" s="94"/>
      <c r="AA105" s="94"/>
      <c r="AB105" s="94"/>
      <c r="AC105" s="105" t="str">
        <f>IFERROR(VLOOKUP(Z105,'【参考】数式用'!$A$4:$B$57,2,FALSE),"")</f>
        <v/>
      </c>
      <c r="AD105" s="108"/>
      <c r="AE105" s="113"/>
      <c r="AF105" s="119">
        <f t="shared" si="2"/>
        <v>0</v>
      </c>
      <c r="AG105" s="122" t="str">
        <f>IF(B105="","",IF(AQ105="総合事業","数式を削除して手入力",IFERROR(INDEX('【参考】数式用'!$AD$3:$AF$452,MATCH(Q105&amp;V105,'【参考】数式用'!$AC$3:$AC$452,0),MATCH(VLOOKUP(Z105,'【参考】数式用'!$AG$2:$AH$56,2,FALSE),'【参考】数式用'!$AD$2:$AF$2,0)),10)))</f>
        <v/>
      </c>
      <c r="AP105" s="127" t="str">
        <f>IF($L$16="","",VLOOKUP(Z105,'【参考】数式用'!$A$2:$O$57,14,FALSE))</f>
        <v/>
      </c>
      <c r="AQ105" s="126" t="e">
        <f>VLOOKUP(Z105,'【参考】数式用'!$A$2:$O$57,15,FALSE)</f>
        <v>#N/A</v>
      </c>
    </row>
    <row r="106" spans="1:43" ht="49.9" customHeight="1">
      <c r="A106" s="29">
        <f t="shared" si="3"/>
        <v>67</v>
      </c>
      <c r="B106" s="42"/>
      <c r="C106" s="48"/>
      <c r="D106" s="48"/>
      <c r="E106" s="48"/>
      <c r="F106" s="48"/>
      <c r="G106" s="48"/>
      <c r="H106" s="48"/>
      <c r="I106" s="48"/>
      <c r="J106" s="48"/>
      <c r="K106" s="48"/>
      <c r="L106" s="63"/>
      <c r="M106" s="63"/>
      <c r="N106" s="63"/>
      <c r="O106" s="63"/>
      <c r="P106" s="63"/>
      <c r="Q106" s="77"/>
      <c r="R106" s="77"/>
      <c r="S106" s="77"/>
      <c r="T106" s="77"/>
      <c r="U106" s="77"/>
      <c r="V106" s="63"/>
      <c r="W106" s="94"/>
      <c r="X106" s="94"/>
      <c r="Y106" s="94"/>
      <c r="Z106" s="94"/>
      <c r="AA106" s="94"/>
      <c r="AB106" s="94"/>
      <c r="AC106" s="105" t="str">
        <f>IFERROR(VLOOKUP(Z106,'【参考】数式用'!$A$4:$B$57,2,FALSE),"")</f>
        <v/>
      </c>
      <c r="AD106" s="108"/>
      <c r="AE106" s="113"/>
      <c r="AF106" s="119">
        <f t="shared" si="2"/>
        <v>0</v>
      </c>
      <c r="AG106" s="122" t="str">
        <f>IF(B106="","",IF(AQ106="総合事業","数式を削除して手入力",IFERROR(INDEX('【参考】数式用'!$AD$3:$AF$452,MATCH(Q106&amp;V106,'【参考】数式用'!$AC$3:$AC$452,0),MATCH(VLOOKUP(Z106,'【参考】数式用'!$AG$2:$AH$56,2,FALSE),'【参考】数式用'!$AD$2:$AF$2,0)),10)))</f>
        <v/>
      </c>
      <c r="AP106" s="127" t="str">
        <f>IF($L$16="","",VLOOKUP(Z106,'【参考】数式用'!$A$2:$O$57,14,FALSE))</f>
        <v/>
      </c>
      <c r="AQ106" s="126" t="e">
        <f>VLOOKUP(Z106,'【参考】数式用'!$A$2:$O$57,15,FALSE)</f>
        <v>#N/A</v>
      </c>
    </row>
    <row r="107" spans="1:43" ht="49.9" customHeight="1">
      <c r="A107" s="29">
        <f t="shared" si="3"/>
        <v>68</v>
      </c>
      <c r="B107" s="42"/>
      <c r="C107" s="48"/>
      <c r="D107" s="48"/>
      <c r="E107" s="48"/>
      <c r="F107" s="48"/>
      <c r="G107" s="48"/>
      <c r="H107" s="48"/>
      <c r="I107" s="48"/>
      <c r="J107" s="48"/>
      <c r="K107" s="48"/>
      <c r="L107" s="63"/>
      <c r="M107" s="63"/>
      <c r="N107" s="63"/>
      <c r="O107" s="63"/>
      <c r="P107" s="63"/>
      <c r="Q107" s="77"/>
      <c r="R107" s="77"/>
      <c r="S107" s="77"/>
      <c r="T107" s="77"/>
      <c r="U107" s="77"/>
      <c r="V107" s="63"/>
      <c r="W107" s="94"/>
      <c r="X107" s="94"/>
      <c r="Y107" s="94"/>
      <c r="Z107" s="94"/>
      <c r="AA107" s="94"/>
      <c r="AB107" s="94"/>
      <c r="AC107" s="105" t="str">
        <f>IFERROR(VLOOKUP(Z107,'【参考】数式用'!$A$4:$B$57,2,FALSE),"")</f>
        <v/>
      </c>
      <c r="AD107" s="108"/>
      <c r="AE107" s="113"/>
      <c r="AF107" s="119">
        <f t="shared" si="2"/>
        <v>0</v>
      </c>
      <c r="AG107" s="122" t="str">
        <f>IF(B107="","",IF(AQ107="総合事業","数式を削除して手入力",IFERROR(INDEX('【参考】数式用'!$AD$3:$AF$452,MATCH(Q107&amp;V107,'【参考】数式用'!$AC$3:$AC$452,0),MATCH(VLOOKUP(Z107,'【参考】数式用'!$AG$2:$AH$56,2,FALSE),'【参考】数式用'!$AD$2:$AF$2,0)),10)))</f>
        <v/>
      </c>
      <c r="AP107" s="127" t="str">
        <f>IF($L$16="","",VLOOKUP(Z107,'【参考】数式用'!$A$2:$O$57,14,FALSE))</f>
        <v/>
      </c>
      <c r="AQ107" s="126" t="e">
        <f>VLOOKUP(Z107,'【参考】数式用'!$A$2:$O$57,15,FALSE)</f>
        <v>#N/A</v>
      </c>
    </row>
    <row r="108" spans="1:43" ht="49.9" customHeight="1">
      <c r="A108" s="29">
        <f t="shared" si="3"/>
        <v>69</v>
      </c>
      <c r="B108" s="42"/>
      <c r="C108" s="48"/>
      <c r="D108" s="48"/>
      <c r="E108" s="48"/>
      <c r="F108" s="48"/>
      <c r="G108" s="48"/>
      <c r="H108" s="48"/>
      <c r="I108" s="48"/>
      <c r="J108" s="48"/>
      <c r="K108" s="48"/>
      <c r="L108" s="63"/>
      <c r="M108" s="63"/>
      <c r="N108" s="63"/>
      <c r="O108" s="63"/>
      <c r="P108" s="63"/>
      <c r="Q108" s="77"/>
      <c r="R108" s="77"/>
      <c r="S108" s="77"/>
      <c r="T108" s="77"/>
      <c r="U108" s="77"/>
      <c r="V108" s="63"/>
      <c r="W108" s="94"/>
      <c r="X108" s="94"/>
      <c r="Y108" s="94"/>
      <c r="Z108" s="94"/>
      <c r="AA108" s="94"/>
      <c r="AB108" s="94"/>
      <c r="AC108" s="105" t="str">
        <f>IFERROR(VLOOKUP(Z108,'【参考】数式用'!$A$4:$B$57,2,FALSE),"")</f>
        <v/>
      </c>
      <c r="AD108" s="108"/>
      <c r="AE108" s="113"/>
      <c r="AF108" s="119">
        <f t="shared" si="2"/>
        <v>0</v>
      </c>
      <c r="AG108" s="122" t="str">
        <f>IF(B108="","",IF(AQ108="総合事業","数式を削除して手入力",IFERROR(INDEX('【参考】数式用'!$AD$3:$AF$452,MATCH(Q108&amp;V108,'【参考】数式用'!$AC$3:$AC$452,0),MATCH(VLOOKUP(Z108,'【参考】数式用'!$AG$2:$AH$56,2,FALSE),'【参考】数式用'!$AD$2:$AF$2,0)),10)))</f>
        <v/>
      </c>
      <c r="AP108" s="127" t="str">
        <f>IF($L$16="","",VLOOKUP(Z108,'【参考】数式用'!$A$2:$O$57,14,FALSE))</f>
        <v/>
      </c>
      <c r="AQ108" s="126" t="e">
        <f>VLOOKUP(Z108,'【参考】数式用'!$A$2:$O$57,15,FALSE)</f>
        <v>#N/A</v>
      </c>
    </row>
    <row r="109" spans="1:43" ht="49.9" customHeight="1">
      <c r="A109" s="29">
        <f t="shared" si="3"/>
        <v>70</v>
      </c>
      <c r="B109" s="42"/>
      <c r="C109" s="48"/>
      <c r="D109" s="48"/>
      <c r="E109" s="48"/>
      <c r="F109" s="48"/>
      <c r="G109" s="48"/>
      <c r="H109" s="48"/>
      <c r="I109" s="48"/>
      <c r="J109" s="48"/>
      <c r="K109" s="48"/>
      <c r="L109" s="63"/>
      <c r="M109" s="63"/>
      <c r="N109" s="63"/>
      <c r="O109" s="63"/>
      <c r="P109" s="63"/>
      <c r="Q109" s="77"/>
      <c r="R109" s="77"/>
      <c r="S109" s="77"/>
      <c r="T109" s="77"/>
      <c r="U109" s="77"/>
      <c r="V109" s="63"/>
      <c r="W109" s="94"/>
      <c r="X109" s="94"/>
      <c r="Y109" s="94"/>
      <c r="Z109" s="94"/>
      <c r="AA109" s="94"/>
      <c r="AB109" s="94"/>
      <c r="AC109" s="105" t="str">
        <f>IFERROR(VLOOKUP(Z109,'【参考】数式用'!$A$4:$B$57,2,FALSE),"")</f>
        <v/>
      </c>
      <c r="AD109" s="108"/>
      <c r="AE109" s="113"/>
      <c r="AF109" s="119">
        <f t="shared" si="2"/>
        <v>0</v>
      </c>
      <c r="AG109" s="122" t="str">
        <f>IF(B109="","",IF(AQ109="総合事業","数式を削除して手入力",IFERROR(INDEX('【参考】数式用'!$AD$3:$AF$452,MATCH(Q109&amp;V109,'【参考】数式用'!$AC$3:$AC$452,0),MATCH(VLOOKUP(Z109,'【参考】数式用'!$AG$2:$AH$56,2,FALSE),'【参考】数式用'!$AD$2:$AF$2,0)),10)))</f>
        <v/>
      </c>
      <c r="AP109" s="127" t="str">
        <f>IF($L$16="","",VLOOKUP(Z109,'【参考】数式用'!$A$2:$O$57,14,FALSE))</f>
        <v/>
      </c>
      <c r="AQ109" s="126" t="e">
        <f>VLOOKUP(Z109,'【参考】数式用'!$A$2:$O$57,15,FALSE)</f>
        <v>#N/A</v>
      </c>
    </row>
    <row r="110" spans="1:43" ht="49.9" customHeight="1">
      <c r="A110" s="29">
        <f t="shared" si="3"/>
        <v>71</v>
      </c>
      <c r="B110" s="42"/>
      <c r="C110" s="48"/>
      <c r="D110" s="48"/>
      <c r="E110" s="48"/>
      <c r="F110" s="48"/>
      <c r="G110" s="48"/>
      <c r="H110" s="48"/>
      <c r="I110" s="48"/>
      <c r="J110" s="48"/>
      <c r="K110" s="48"/>
      <c r="L110" s="63"/>
      <c r="M110" s="63"/>
      <c r="N110" s="63"/>
      <c r="O110" s="63"/>
      <c r="P110" s="63"/>
      <c r="Q110" s="77"/>
      <c r="R110" s="77"/>
      <c r="S110" s="77"/>
      <c r="T110" s="77"/>
      <c r="U110" s="77"/>
      <c r="V110" s="63"/>
      <c r="W110" s="94"/>
      <c r="X110" s="94"/>
      <c r="Y110" s="94"/>
      <c r="Z110" s="94"/>
      <c r="AA110" s="94"/>
      <c r="AB110" s="94"/>
      <c r="AC110" s="105" t="str">
        <f>IFERROR(VLOOKUP(Z110,'【参考】数式用'!$A$4:$B$57,2,FALSE),"")</f>
        <v/>
      </c>
      <c r="AD110" s="108"/>
      <c r="AE110" s="113"/>
      <c r="AF110" s="119">
        <f t="shared" si="2"/>
        <v>0</v>
      </c>
      <c r="AG110" s="122" t="str">
        <f>IF(B110="","",IF(AQ110="総合事業","数式を削除して手入力",IFERROR(INDEX('【参考】数式用'!$AD$3:$AF$452,MATCH(Q110&amp;V110,'【参考】数式用'!$AC$3:$AC$452,0),MATCH(VLOOKUP(Z110,'【参考】数式用'!$AG$2:$AH$56,2,FALSE),'【参考】数式用'!$AD$2:$AF$2,0)),10)))</f>
        <v/>
      </c>
      <c r="AP110" s="127" t="str">
        <f>IF($L$16="","",VLOOKUP(Z110,'【参考】数式用'!$A$2:$O$57,14,FALSE))</f>
        <v/>
      </c>
      <c r="AQ110" s="126" t="e">
        <f>VLOOKUP(Z110,'【参考】数式用'!$A$2:$O$57,15,FALSE)</f>
        <v>#N/A</v>
      </c>
    </row>
    <row r="111" spans="1:43" ht="49.9" customHeight="1">
      <c r="A111" s="29">
        <f t="shared" si="3"/>
        <v>72</v>
      </c>
      <c r="B111" s="42"/>
      <c r="C111" s="48"/>
      <c r="D111" s="48"/>
      <c r="E111" s="48"/>
      <c r="F111" s="48"/>
      <c r="G111" s="48"/>
      <c r="H111" s="48"/>
      <c r="I111" s="48"/>
      <c r="J111" s="48"/>
      <c r="K111" s="48"/>
      <c r="L111" s="63"/>
      <c r="M111" s="63"/>
      <c r="N111" s="63"/>
      <c r="O111" s="63"/>
      <c r="P111" s="63"/>
      <c r="Q111" s="77"/>
      <c r="R111" s="77"/>
      <c r="S111" s="77"/>
      <c r="T111" s="77"/>
      <c r="U111" s="77"/>
      <c r="V111" s="63"/>
      <c r="W111" s="94"/>
      <c r="X111" s="94"/>
      <c r="Y111" s="94"/>
      <c r="Z111" s="94"/>
      <c r="AA111" s="94"/>
      <c r="AB111" s="94"/>
      <c r="AC111" s="105" t="str">
        <f>IFERROR(VLOOKUP(Z111,'【参考】数式用'!$A$4:$B$57,2,FALSE),"")</f>
        <v/>
      </c>
      <c r="AD111" s="108"/>
      <c r="AE111" s="113"/>
      <c r="AF111" s="119">
        <f t="shared" si="2"/>
        <v>0</v>
      </c>
      <c r="AG111" s="122" t="str">
        <f>IF(B111="","",IF(AQ111="総合事業","数式を削除して手入力",IFERROR(INDEX('【参考】数式用'!$AD$3:$AF$452,MATCH(Q111&amp;V111,'【参考】数式用'!$AC$3:$AC$452,0),MATCH(VLOOKUP(Z111,'【参考】数式用'!$AG$2:$AH$56,2,FALSE),'【参考】数式用'!$AD$2:$AF$2,0)),10)))</f>
        <v/>
      </c>
      <c r="AP111" s="127" t="str">
        <f>IF($L$16="","",VLOOKUP(Z111,'【参考】数式用'!$A$2:$O$57,14,FALSE))</f>
        <v/>
      </c>
      <c r="AQ111" s="126" t="e">
        <f>VLOOKUP(Z111,'【参考】数式用'!$A$2:$O$57,15,FALSE)</f>
        <v>#N/A</v>
      </c>
    </row>
    <row r="112" spans="1:43" ht="49.9" customHeight="1">
      <c r="A112" s="29">
        <f t="shared" si="3"/>
        <v>73</v>
      </c>
      <c r="B112" s="42"/>
      <c r="C112" s="48"/>
      <c r="D112" s="48"/>
      <c r="E112" s="48"/>
      <c r="F112" s="48"/>
      <c r="G112" s="48"/>
      <c r="H112" s="48"/>
      <c r="I112" s="48"/>
      <c r="J112" s="48"/>
      <c r="K112" s="48"/>
      <c r="L112" s="63"/>
      <c r="M112" s="63"/>
      <c r="N112" s="63"/>
      <c r="O112" s="63"/>
      <c r="P112" s="63"/>
      <c r="Q112" s="77"/>
      <c r="R112" s="77"/>
      <c r="S112" s="77"/>
      <c r="T112" s="77"/>
      <c r="U112" s="77"/>
      <c r="V112" s="63"/>
      <c r="W112" s="94"/>
      <c r="X112" s="94"/>
      <c r="Y112" s="94"/>
      <c r="Z112" s="94"/>
      <c r="AA112" s="94"/>
      <c r="AB112" s="94"/>
      <c r="AC112" s="105" t="str">
        <f>IFERROR(VLOOKUP(Z112,'【参考】数式用'!$A$4:$B$57,2,FALSE),"")</f>
        <v/>
      </c>
      <c r="AD112" s="108"/>
      <c r="AE112" s="113"/>
      <c r="AF112" s="119">
        <f t="shared" si="2"/>
        <v>0</v>
      </c>
      <c r="AG112" s="122" t="str">
        <f>IF(B112="","",IF(AQ112="総合事業","数式を削除して手入力",IFERROR(INDEX('【参考】数式用'!$AD$3:$AF$452,MATCH(Q112&amp;V112,'【参考】数式用'!$AC$3:$AC$452,0),MATCH(VLOOKUP(Z112,'【参考】数式用'!$AG$2:$AH$56,2,FALSE),'【参考】数式用'!$AD$2:$AF$2,0)),10)))</f>
        <v/>
      </c>
      <c r="AP112" s="127" t="str">
        <f>IF($L$16="","",VLOOKUP(Z112,'【参考】数式用'!$A$2:$O$57,14,FALSE))</f>
        <v/>
      </c>
      <c r="AQ112" s="126" t="e">
        <f>VLOOKUP(Z112,'【参考】数式用'!$A$2:$O$57,15,FALSE)</f>
        <v>#N/A</v>
      </c>
    </row>
    <row r="113" spans="1:43" ht="49.9" customHeight="1">
      <c r="A113" s="29">
        <f t="shared" si="3"/>
        <v>74</v>
      </c>
      <c r="B113" s="42"/>
      <c r="C113" s="48"/>
      <c r="D113" s="48"/>
      <c r="E113" s="48"/>
      <c r="F113" s="48"/>
      <c r="G113" s="48"/>
      <c r="H113" s="48"/>
      <c r="I113" s="48"/>
      <c r="J113" s="48"/>
      <c r="K113" s="48"/>
      <c r="L113" s="63"/>
      <c r="M113" s="63"/>
      <c r="N113" s="63"/>
      <c r="O113" s="63"/>
      <c r="P113" s="63"/>
      <c r="Q113" s="77"/>
      <c r="R113" s="77"/>
      <c r="S113" s="77"/>
      <c r="T113" s="77"/>
      <c r="U113" s="77"/>
      <c r="V113" s="63"/>
      <c r="W113" s="94"/>
      <c r="X113" s="94"/>
      <c r="Y113" s="94"/>
      <c r="Z113" s="94"/>
      <c r="AA113" s="94"/>
      <c r="AB113" s="94"/>
      <c r="AC113" s="105" t="str">
        <f>IFERROR(VLOOKUP(Z113,'【参考】数式用'!$A$4:$B$57,2,FALSE),"")</f>
        <v/>
      </c>
      <c r="AD113" s="108"/>
      <c r="AE113" s="113"/>
      <c r="AF113" s="119">
        <f t="shared" si="2"/>
        <v>0</v>
      </c>
      <c r="AG113" s="122" t="str">
        <f>IF(B113="","",IF(AQ113="総合事業","数式を削除して手入力",IFERROR(INDEX('【参考】数式用'!$AD$3:$AF$452,MATCH(Q113&amp;V113,'【参考】数式用'!$AC$3:$AC$452,0),MATCH(VLOOKUP(Z113,'【参考】数式用'!$AG$2:$AH$56,2,FALSE),'【参考】数式用'!$AD$2:$AF$2,0)),10)))</f>
        <v/>
      </c>
      <c r="AP113" s="127" t="str">
        <f>IF($L$16="","",VLOOKUP(Z113,'【参考】数式用'!$A$2:$O$57,14,FALSE))</f>
        <v/>
      </c>
      <c r="AQ113" s="126" t="e">
        <f>VLOOKUP(Z113,'【参考】数式用'!$A$2:$O$57,15,FALSE)</f>
        <v>#N/A</v>
      </c>
    </row>
    <row r="114" spans="1:43" ht="49.9" customHeight="1">
      <c r="A114" s="29">
        <f t="shared" si="3"/>
        <v>75</v>
      </c>
      <c r="B114" s="42"/>
      <c r="C114" s="48"/>
      <c r="D114" s="48"/>
      <c r="E114" s="48"/>
      <c r="F114" s="48"/>
      <c r="G114" s="48"/>
      <c r="H114" s="48"/>
      <c r="I114" s="48"/>
      <c r="J114" s="48"/>
      <c r="K114" s="48"/>
      <c r="L114" s="63"/>
      <c r="M114" s="63"/>
      <c r="N114" s="63"/>
      <c r="O114" s="63"/>
      <c r="P114" s="63"/>
      <c r="Q114" s="77"/>
      <c r="R114" s="77"/>
      <c r="S114" s="77"/>
      <c r="T114" s="77"/>
      <c r="U114" s="77"/>
      <c r="V114" s="63"/>
      <c r="W114" s="94"/>
      <c r="X114" s="94"/>
      <c r="Y114" s="94"/>
      <c r="Z114" s="94"/>
      <c r="AA114" s="94"/>
      <c r="AB114" s="94"/>
      <c r="AC114" s="105" t="str">
        <f>IFERROR(VLOOKUP(Z114,'【参考】数式用'!$A$4:$B$57,2,FALSE),"")</f>
        <v/>
      </c>
      <c r="AD114" s="108"/>
      <c r="AE114" s="113"/>
      <c r="AF114" s="119">
        <f t="shared" si="2"/>
        <v>0</v>
      </c>
      <c r="AG114" s="122" t="str">
        <f>IF(B114="","",IF(AQ114="総合事業","数式を削除して手入力",IFERROR(INDEX('【参考】数式用'!$AD$3:$AF$452,MATCH(Q114&amp;V114,'【参考】数式用'!$AC$3:$AC$452,0),MATCH(VLOOKUP(Z114,'【参考】数式用'!$AG$2:$AH$56,2,FALSE),'【参考】数式用'!$AD$2:$AF$2,0)),10)))</f>
        <v/>
      </c>
      <c r="AP114" s="127" t="str">
        <f>IF($L$16="","",VLOOKUP(Z114,'【参考】数式用'!$A$2:$O$57,14,FALSE))</f>
        <v/>
      </c>
      <c r="AQ114" s="126" t="e">
        <f>VLOOKUP(Z114,'【参考】数式用'!$A$2:$O$57,15,FALSE)</f>
        <v>#N/A</v>
      </c>
    </row>
    <row r="115" spans="1:43" ht="49.9" customHeight="1">
      <c r="A115" s="29">
        <f t="shared" si="3"/>
        <v>76</v>
      </c>
      <c r="B115" s="42"/>
      <c r="C115" s="48"/>
      <c r="D115" s="48"/>
      <c r="E115" s="48"/>
      <c r="F115" s="48"/>
      <c r="G115" s="48"/>
      <c r="H115" s="48"/>
      <c r="I115" s="48"/>
      <c r="J115" s="48"/>
      <c r="K115" s="48"/>
      <c r="L115" s="63"/>
      <c r="M115" s="63"/>
      <c r="N115" s="63"/>
      <c r="O115" s="63"/>
      <c r="P115" s="63"/>
      <c r="Q115" s="77"/>
      <c r="R115" s="77"/>
      <c r="S115" s="77"/>
      <c r="T115" s="77"/>
      <c r="U115" s="77"/>
      <c r="V115" s="63"/>
      <c r="W115" s="94"/>
      <c r="X115" s="94"/>
      <c r="Y115" s="94"/>
      <c r="Z115" s="94"/>
      <c r="AA115" s="94"/>
      <c r="AB115" s="94"/>
      <c r="AC115" s="105" t="str">
        <f>IFERROR(VLOOKUP(Z115,'【参考】数式用'!$A$4:$B$57,2,FALSE),"")</f>
        <v/>
      </c>
      <c r="AD115" s="108"/>
      <c r="AE115" s="113"/>
      <c r="AF115" s="119">
        <f t="shared" si="2"/>
        <v>0</v>
      </c>
      <c r="AG115" s="122" t="str">
        <f>IF(B115="","",IF(AQ115="総合事業","数式を削除して手入力",IFERROR(INDEX('【参考】数式用'!$AD$3:$AF$452,MATCH(Q115&amp;V115,'【参考】数式用'!$AC$3:$AC$452,0),MATCH(VLOOKUP(Z115,'【参考】数式用'!$AG$2:$AH$56,2,FALSE),'【参考】数式用'!$AD$2:$AF$2,0)),10)))</f>
        <v/>
      </c>
      <c r="AP115" s="127" t="str">
        <f>IF($L$16="","",VLOOKUP(Z115,'【参考】数式用'!$A$2:$O$57,14,FALSE))</f>
        <v/>
      </c>
      <c r="AQ115" s="126" t="e">
        <f>VLOOKUP(Z115,'【参考】数式用'!$A$2:$O$57,15,FALSE)</f>
        <v>#N/A</v>
      </c>
    </row>
    <row r="116" spans="1:43" ht="49.9" customHeight="1">
      <c r="A116" s="29">
        <f t="shared" si="3"/>
        <v>77</v>
      </c>
      <c r="B116" s="42"/>
      <c r="C116" s="48"/>
      <c r="D116" s="48"/>
      <c r="E116" s="48"/>
      <c r="F116" s="48"/>
      <c r="G116" s="48"/>
      <c r="H116" s="48"/>
      <c r="I116" s="48"/>
      <c r="J116" s="48"/>
      <c r="K116" s="48"/>
      <c r="L116" s="63"/>
      <c r="M116" s="63"/>
      <c r="N116" s="63"/>
      <c r="O116" s="63"/>
      <c r="P116" s="63"/>
      <c r="Q116" s="77"/>
      <c r="R116" s="77"/>
      <c r="S116" s="77"/>
      <c r="T116" s="77"/>
      <c r="U116" s="77"/>
      <c r="V116" s="63"/>
      <c r="W116" s="94"/>
      <c r="X116" s="94"/>
      <c r="Y116" s="94"/>
      <c r="Z116" s="94"/>
      <c r="AA116" s="94"/>
      <c r="AB116" s="94"/>
      <c r="AC116" s="105" t="str">
        <f>IFERROR(VLOOKUP(Z116,'【参考】数式用'!$A$4:$B$57,2,FALSE),"")</f>
        <v/>
      </c>
      <c r="AD116" s="108"/>
      <c r="AE116" s="113"/>
      <c r="AF116" s="119">
        <f t="shared" si="2"/>
        <v>0</v>
      </c>
      <c r="AG116" s="122" t="str">
        <f>IF(B116="","",IF(AQ116="総合事業","数式を削除して手入力",IFERROR(INDEX('【参考】数式用'!$AD$3:$AF$452,MATCH(Q116&amp;V116,'【参考】数式用'!$AC$3:$AC$452,0),MATCH(VLOOKUP(Z116,'【参考】数式用'!$AG$2:$AH$56,2,FALSE),'【参考】数式用'!$AD$2:$AF$2,0)),10)))</f>
        <v/>
      </c>
      <c r="AP116" s="127" t="str">
        <f>IF($L$16="","",VLOOKUP(Z116,'【参考】数式用'!$A$2:$O$57,14,FALSE))</f>
        <v/>
      </c>
      <c r="AQ116" s="126" t="e">
        <f>VLOOKUP(Z116,'【参考】数式用'!$A$2:$O$57,15,FALSE)</f>
        <v>#N/A</v>
      </c>
    </row>
    <row r="117" spans="1:43" ht="49.9" customHeight="1">
      <c r="A117" s="29">
        <f t="shared" si="3"/>
        <v>78</v>
      </c>
      <c r="B117" s="42"/>
      <c r="C117" s="48"/>
      <c r="D117" s="48"/>
      <c r="E117" s="48"/>
      <c r="F117" s="48"/>
      <c r="G117" s="48"/>
      <c r="H117" s="48"/>
      <c r="I117" s="48"/>
      <c r="J117" s="48"/>
      <c r="K117" s="48"/>
      <c r="L117" s="63"/>
      <c r="M117" s="63"/>
      <c r="N117" s="63"/>
      <c r="O117" s="63"/>
      <c r="P117" s="63"/>
      <c r="Q117" s="77"/>
      <c r="R117" s="77"/>
      <c r="S117" s="77"/>
      <c r="T117" s="77"/>
      <c r="U117" s="77"/>
      <c r="V117" s="63"/>
      <c r="W117" s="94"/>
      <c r="X117" s="94"/>
      <c r="Y117" s="94"/>
      <c r="Z117" s="94"/>
      <c r="AA117" s="94"/>
      <c r="AB117" s="94"/>
      <c r="AC117" s="105" t="str">
        <f>IFERROR(VLOOKUP(Z117,'【参考】数式用'!$A$4:$B$57,2,FALSE),"")</f>
        <v/>
      </c>
      <c r="AD117" s="108"/>
      <c r="AE117" s="113"/>
      <c r="AF117" s="119">
        <f t="shared" si="2"/>
        <v>0</v>
      </c>
      <c r="AG117" s="122" t="str">
        <f>IF(B117="","",IF(AQ117="総合事業","数式を削除して手入力",IFERROR(INDEX('【参考】数式用'!$AD$3:$AF$452,MATCH(Q117&amp;V117,'【参考】数式用'!$AC$3:$AC$452,0),MATCH(VLOOKUP(Z117,'【参考】数式用'!$AG$2:$AH$56,2,FALSE),'【参考】数式用'!$AD$2:$AF$2,0)),10)))</f>
        <v/>
      </c>
      <c r="AP117" s="127" t="str">
        <f>IF($L$16="","",VLOOKUP(Z117,'【参考】数式用'!$A$2:$O$57,14,FALSE))</f>
        <v/>
      </c>
      <c r="AQ117" s="126" t="e">
        <f>VLOOKUP(Z117,'【参考】数式用'!$A$2:$O$57,15,FALSE)</f>
        <v>#N/A</v>
      </c>
    </row>
    <row r="118" spans="1:43" ht="49.9" customHeight="1">
      <c r="A118" s="29">
        <f t="shared" si="3"/>
        <v>79</v>
      </c>
      <c r="B118" s="42"/>
      <c r="C118" s="48"/>
      <c r="D118" s="48"/>
      <c r="E118" s="48"/>
      <c r="F118" s="48"/>
      <c r="G118" s="48"/>
      <c r="H118" s="48"/>
      <c r="I118" s="48"/>
      <c r="J118" s="48"/>
      <c r="K118" s="48"/>
      <c r="L118" s="63"/>
      <c r="M118" s="63"/>
      <c r="N118" s="63"/>
      <c r="O118" s="63"/>
      <c r="P118" s="63"/>
      <c r="Q118" s="77"/>
      <c r="R118" s="77"/>
      <c r="S118" s="77"/>
      <c r="T118" s="77"/>
      <c r="U118" s="77"/>
      <c r="V118" s="63"/>
      <c r="W118" s="94"/>
      <c r="X118" s="94"/>
      <c r="Y118" s="94"/>
      <c r="Z118" s="94"/>
      <c r="AA118" s="94"/>
      <c r="AB118" s="94"/>
      <c r="AC118" s="105" t="str">
        <f>IFERROR(VLOOKUP(Z118,'【参考】数式用'!$A$4:$B$57,2,FALSE),"")</f>
        <v/>
      </c>
      <c r="AD118" s="108"/>
      <c r="AE118" s="113"/>
      <c r="AF118" s="119">
        <f t="shared" si="2"/>
        <v>0</v>
      </c>
      <c r="AG118" s="122" t="str">
        <f>IF(B118="","",IF(AQ118="総合事業","数式を削除して手入力",IFERROR(INDEX('【参考】数式用'!$AD$3:$AF$452,MATCH(Q118&amp;V118,'【参考】数式用'!$AC$3:$AC$452,0),MATCH(VLOOKUP(Z118,'【参考】数式用'!$AG$2:$AH$56,2,FALSE),'【参考】数式用'!$AD$2:$AF$2,0)),10)))</f>
        <v/>
      </c>
      <c r="AP118" s="127" t="str">
        <f>IF($L$16="","",VLOOKUP(Z118,'【参考】数式用'!$A$2:$O$57,14,FALSE))</f>
        <v/>
      </c>
      <c r="AQ118" s="126" t="e">
        <f>VLOOKUP(Z118,'【参考】数式用'!$A$2:$O$57,15,FALSE)</f>
        <v>#N/A</v>
      </c>
    </row>
    <row r="119" spans="1:43" ht="49.9" customHeight="1">
      <c r="A119" s="29">
        <f t="shared" si="3"/>
        <v>80</v>
      </c>
      <c r="B119" s="42"/>
      <c r="C119" s="48"/>
      <c r="D119" s="48"/>
      <c r="E119" s="48"/>
      <c r="F119" s="48"/>
      <c r="G119" s="48"/>
      <c r="H119" s="48"/>
      <c r="I119" s="48"/>
      <c r="J119" s="48"/>
      <c r="K119" s="48"/>
      <c r="L119" s="63"/>
      <c r="M119" s="63"/>
      <c r="N119" s="63"/>
      <c r="O119" s="63"/>
      <c r="P119" s="63"/>
      <c r="Q119" s="77"/>
      <c r="R119" s="77"/>
      <c r="S119" s="77"/>
      <c r="T119" s="77"/>
      <c r="U119" s="77"/>
      <c r="V119" s="63"/>
      <c r="W119" s="94"/>
      <c r="X119" s="94"/>
      <c r="Y119" s="94"/>
      <c r="Z119" s="94"/>
      <c r="AA119" s="94"/>
      <c r="AB119" s="94"/>
      <c r="AC119" s="105" t="str">
        <f>IFERROR(VLOOKUP(Z119,'【参考】数式用'!$A$4:$B$57,2,FALSE),"")</f>
        <v/>
      </c>
      <c r="AD119" s="108"/>
      <c r="AE119" s="113"/>
      <c r="AF119" s="119">
        <f t="shared" si="2"/>
        <v>0</v>
      </c>
      <c r="AG119" s="122" t="str">
        <f>IF(B119="","",IF(AQ119="総合事業","数式を削除して手入力",IFERROR(INDEX('【参考】数式用'!$AD$3:$AF$452,MATCH(Q119&amp;V119,'【参考】数式用'!$AC$3:$AC$452,0),MATCH(VLOOKUP(Z119,'【参考】数式用'!$AG$2:$AH$56,2,FALSE),'【参考】数式用'!$AD$2:$AF$2,0)),10)))</f>
        <v/>
      </c>
      <c r="AP119" s="127" t="str">
        <f>IF($L$16="","",VLOOKUP(Z119,'【参考】数式用'!$A$2:$O$57,14,FALSE))</f>
        <v/>
      </c>
      <c r="AQ119" s="126" t="e">
        <f>VLOOKUP(Z119,'【参考】数式用'!$A$2:$O$57,15,FALSE)</f>
        <v>#N/A</v>
      </c>
    </row>
    <row r="120" spans="1:43" ht="49.9" customHeight="1">
      <c r="A120" s="29">
        <f t="shared" si="3"/>
        <v>81</v>
      </c>
      <c r="B120" s="42"/>
      <c r="C120" s="48"/>
      <c r="D120" s="48"/>
      <c r="E120" s="48"/>
      <c r="F120" s="48"/>
      <c r="G120" s="48"/>
      <c r="H120" s="48"/>
      <c r="I120" s="48"/>
      <c r="J120" s="48"/>
      <c r="K120" s="48"/>
      <c r="L120" s="63"/>
      <c r="M120" s="63"/>
      <c r="N120" s="63"/>
      <c r="O120" s="63"/>
      <c r="P120" s="63"/>
      <c r="Q120" s="77"/>
      <c r="R120" s="77"/>
      <c r="S120" s="77"/>
      <c r="T120" s="77"/>
      <c r="U120" s="77"/>
      <c r="V120" s="63"/>
      <c r="W120" s="94"/>
      <c r="X120" s="94"/>
      <c r="Y120" s="94"/>
      <c r="Z120" s="94"/>
      <c r="AA120" s="94"/>
      <c r="AB120" s="94"/>
      <c r="AC120" s="105" t="str">
        <f>IFERROR(VLOOKUP(Z120,'【参考】数式用'!$A$4:$B$57,2,FALSE),"")</f>
        <v/>
      </c>
      <c r="AD120" s="108"/>
      <c r="AE120" s="113"/>
      <c r="AF120" s="119">
        <f t="shared" si="2"/>
        <v>0</v>
      </c>
      <c r="AG120" s="122" t="str">
        <f>IF(B120="","",IF(AQ120="総合事業","数式を削除して手入力",IFERROR(INDEX('【参考】数式用'!$AD$3:$AF$452,MATCH(Q120&amp;V120,'【参考】数式用'!$AC$3:$AC$452,0),MATCH(VLOOKUP(Z120,'【参考】数式用'!$AG$2:$AH$56,2,FALSE),'【参考】数式用'!$AD$2:$AF$2,0)),10)))</f>
        <v/>
      </c>
      <c r="AP120" s="127" t="str">
        <f>IF($L$16="","",VLOOKUP(Z120,'【参考】数式用'!$A$2:$O$57,14,FALSE))</f>
        <v/>
      </c>
      <c r="AQ120" s="126" t="e">
        <f>VLOOKUP(Z120,'【参考】数式用'!$A$2:$O$57,15,FALSE)</f>
        <v>#N/A</v>
      </c>
    </row>
    <row r="121" spans="1:43" ht="49.9" customHeight="1">
      <c r="A121" s="29">
        <f t="shared" si="3"/>
        <v>82</v>
      </c>
      <c r="B121" s="42"/>
      <c r="C121" s="48"/>
      <c r="D121" s="48"/>
      <c r="E121" s="48"/>
      <c r="F121" s="48"/>
      <c r="G121" s="48"/>
      <c r="H121" s="48"/>
      <c r="I121" s="48"/>
      <c r="J121" s="48"/>
      <c r="K121" s="48"/>
      <c r="L121" s="63"/>
      <c r="M121" s="63"/>
      <c r="N121" s="63"/>
      <c r="O121" s="63"/>
      <c r="P121" s="63"/>
      <c r="Q121" s="77"/>
      <c r="R121" s="77"/>
      <c r="S121" s="77"/>
      <c r="T121" s="77"/>
      <c r="U121" s="77"/>
      <c r="V121" s="63"/>
      <c r="W121" s="94"/>
      <c r="X121" s="94"/>
      <c r="Y121" s="94"/>
      <c r="Z121" s="94"/>
      <c r="AA121" s="94"/>
      <c r="AB121" s="94"/>
      <c r="AC121" s="105" t="str">
        <f>IFERROR(VLOOKUP(Z121,'【参考】数式用'!$A$4:$B$57,2,FALSE),"")</f>
        <v/>
      </c>
      <c r="AD121" s="108"/>
      <c r="AE121" s="113"/>
      <c r="AF121" s="119">
        <f t="shared" si="2"/>
        <v>0</v>
      </c>
      <c r="AG121" s="122" t="str">
        <f>IF(B121="","",IF(AQ121="総合事業","数式を削除して手入力",IFERROR(INDEX('【参考】数式用'!$AD$3:$AF$452,MATCH(Q121&amp;V121,'【参考】数式用'!$AC$3:$AC$452,0),MATCH(VLOOKUP(Z121,'【参考】数式用'!$AG$2:$AH$56,2,FALSE),'【参考】数式用'!$AD$2:$AF$2,0)),10)))</f>
        <v/>
      </c>
      <c r="AP121" s="127" t="str">
        <f>IF($L$16="","",VLOOKUP(Z121,'【参考】数式用'!$A$2:$O$57,14,FALSE))</f>
        <v/>
      </c>
      <c r="AQ121" s="126" t="e">
        <f>VLOOKUP(Z121,'【参考】数式用'!$A$2:$O$57,15,FALSE)</f>
        <v>#N/A</v>
      </c>
    </row>
    <row r="122" spans="1:43" ht="49.9" customHeight="1">
      <c r="A122" s="29">
        <f t="shared" si="3"/>
        <v>83</v>
      </c>
      <c r="B122" s="42"/>
      <c r="C122" s="48"/>
      <c r="D122" s="48"/>
      <c r="E122" s="48"/>
      <c r="F122" s="48"/>
      <c r="G122" s="48"/>
      <c r="H122" s="48"/>
      <c r="I122" s="48"/>
      <c r="J122" s="48"/>
      <c r="K122" s="48"/>
      <c r="L122" s="63"/>
      <c r="M122" s="63"/>
      <c r="N122" s="63"/>
      <c r="O122" s="63"/>
      <c r="P122" s="63"/>
      <c r="Q122" s="77"/>
      <c r="R122" s="77"/>
      <c r="S122" s="77"/>
      <c r="T122" s="77"/>
      <c r="U122" s="77"/>
      <c r="V122" s="63"/>
      <c r="W122" s="94"/>
      <c r="X122" s="94"/>
      <c r="Y122" s="94"/>
      <c r="Z122" s="94"/>
      <c r="AA122" s="94"/>
      <c r="AB122" s="94"/>
      <c r="AC122" s="105" t="str">
        <f>IFERROR(VLOOKUP(Z122,'【参考】数式用'!$A$4:$B$57,2,FALSE),"")</f>
        <v/>
      </c>
      <c r="AD122" s="108"/>
      <c r="AE122" s="113"/>
      <c r="AF122" s="119">
        <f t="shared" si="2"/>
        <v>0</v>
      </c>
      <c r="AG122" s="122" t="str">
        <f>IF(B122="","",IF(AQ122="総合事業","数式を削除して手入力",IFERROR(INDEX('【参考】数式用'!$AD$3:$AF$452,MATCH(Q122&amp;V122,'【参考】数式用'!$AC$3:$AC$452,0),MATCH(VLOOKUP(Z122,'【参考】数式用'!$AG$2:$AH$56,2,FALSE),'【参考】数式用'!$AD$2:$AF$2,0)),10)))</f>
        <v/>
      </c>
      <c r="AP122" s="127" t="str">
        <f>IF($L$16="","",VLOOKUP(Z122,'【参考】数式用'!$A$2:$O$57,14,FALSE))</f>
        <v/>
      </c>
      <c r="AQ122" s="126" t="e">
        <f>VLOOKUP(Z122,'【参考】数式用'!$A$2:$O$57,15,FALSE)</f>
        <v>#N/A</v>
      </c>
    </row>
    <row r="123" spans="1:43" ht="49.9" customHeight="1">
      <c r="A123" s="29">
        <f t="shared" si="3"/>
        <v>84</v>
      </c>
      <c r="B123" s="42"/>
      <c r="C123" s="48"/>
      <c r="D123" s="48"/>
      <c r="E123" s="48"/>
      <c r="F123" s="48"/>
      <c r="G123" s="48"/>
      <c r="H123" s="48"/>
      <c r="I123" s="48"/>
      <c r="J123" s="48"/>
      <c r="K123" s="48"/>
      <c r="L123" s="63"/>
      <c r="M123" s="63"/>
      <c r="N123" s="63"/>
      <c r="O123" s="63"/>
      <c r="P123" s="63"/>
      <c r="Q123" s="77"/>
      <c r="R123" s="77"/>
      <c r="S123" s="77"/>
      <c r="T123" s="77"/>
      <c r="U123" s="77"/>
      <c r="V123" s="63"/>
      <c r="W123" s="94"/>
      <c r="X123" s="94"/>
      <c r="Y123" s="94"/>
      <c r="Z123" s="94"/>
      <c r="AA123" s="94"/>
      <c r="AB123" s="94"/>
      <c r="AC123" s="105" t="str">
        <f>IFERROR(VLOOKUP(Z123,'【参考】数式用'!$A$4:$B$57,2,FALSE),"")</f>
        <v/>
      </c>
      <c r="AD123" s="108"/>
      <c r="AE123" s="113"/>
      <c r="AF123" s="119">
        <f t="shared" si="2"/>
        <v>0</v>
      </c>
      <c r="AG123" s="122" t="str">
        <f>IF(B123="","",IF(AQ123="総合事業","数式を削除して手入力",IFERROR(INDEX('【参考】数式用'!$AD$3:$AF$452,MATCH(Q123&amp;V123,'【参考】数式用'!$AC$3:$AC$452,0),MATCH(VLOOKUP(Z123,'【参考】数式用'!$AG$2:$AH$56,2,FALSE),'【参考】数式用'!$AD$2:$AF$2,0)),10)))</f>
        <v/>
      </c>
      <c r="AP123" s="127" t="str">
        <f>IF($L$16="","",VLOOKUP(Z123,'【参考】数式用'!$A$2:$O$57,14,FALSE))</f>
        <v/>
      </c>
      <c r="AQ123" s="126" t="e">
        <f>VLOOKUP(Z123,'【参考】数式用'!$A$2:$O$57,15,FALSE)</f>
        <v>#N/A</v>
      </c>
    </row>
    <row r="124" spans="1:43" ht="49.9" customHeight="1">
      <c r="A124" s="29">
        <f t="shared" si="3"/>
        <v>85</v>
      </c>
      <c r="B124" s="42"/>
      <c r="C124" s="48"/>
      <c r="D124" s="48"/>
      <c r="E124" s="48"/>
      <c r="F124" s="48"/>
      <c r="G124" s="48"/>
      <c r="H124" s="48"/>
      <c r="I124" s="48"/>
      <c r="J124" s="48"/>
      <c r="K124" s="48"/>
      <c r="L124" s="63"/>
      <c r="M124" s="63"/>
      <c r="N124" s="63"/>
      <c r="O124" s="63"/>
      <c r="P124" s="63"/>
      <c r="Q124" s="77"/>
      <c r="R124" s="77"/>
      <c r="S124" s="77"/>
      <c r="T124" s="77"/>
      <c r="U124" s="77"/>
      <c r="V124" s="63"/>
      <c r="W124" s="94"/>
      <c r="X124" s="94"/>
      <c r="Y124" s="94"/>
      <c r="Z124" s="94"/>
      <c r="AA124" s="94"/>
      <c r="AB124" s="94"/>
      <c r="AC124" s="105" t="str">
        <f>IFERROR(VLOOKUP(Z124,'【参考】数式用'!$A$4:$B$57,2,FALSE),"")</f>
        <v/>
      </c>
      <c r="AD124" s="108"/>
      <c r="AE124" s="113"/>
      <c r="AF124" s="119">
        <f t="shared" si="2"/>
        <v>0</v>
      </c>
      <c r="AG124" s="122" t="str">
        <f>IF(B124="","",IF(AQ124="総合事業","数式を削除して手入力",IFERROR(INDEX('【参考】数式用'!$AD$3:$AF$452,MATCH(Q124&amp;V124,'【参考】数式用'!$AC$3:$AC$452,0),MATCH(VLOOKUP(Z124,'【参考】数式用'!$AG$2:$AH$56,2,FALSE),'【参考】数式用'!$AD$2:$AF$2,0)),10)))</f>
        <v/>
      </c>
      <c r="AP124" s="127" t="str">
        <f>IF($L$16="","",VLOOKUP(Z124,'【参考】数式用'!$A$2:$O$57,14,FALSE))</f>
        <v/>
      </c>
      <c r="AQ124" s="126" t="e">
        <f>VLOOKUP(Z124,'【参考】数式用'!$A$2:$O$57,15,FALSE)</f>
        <v>#N/A</v>
      </c>
    </row>
    <row r="125" spans="1:43" ht="49.9" customHeight="1">
      <c r="A125" s="29">
        <f t="shared" si="3"/>
        <v>86</v>
      </c>
      <c r="B125" s="42"/>
      <c r="C125" s="48"/>
      <c r="D125" s="48"/>
      <c r="E125" s="48"/>
      <c r="F125" s="48"/>
      <c r="G125" s="48"/>
      <c r="H125" s="48"/>
      <c r="I125" s="48"/>
      <c r="J125" s="48"/>
      <c r="K125" s="48"/>
      <c r="L125" s="63"/>
      <c r="M125" s="63"/>
      <c r="N125" s="63"/>
      <c r="O125" s="63"/>
      <c r="P125" s="63"/>
      <c r="Q125" s="77"/>
      <c r="R125" s="77"/>
      <c r="S125" s="77"/>
      <c r="T125" s="77"/>
      <c r="U125" s="77"/>
      <c r="V125" s="63"/>
      <c r="W125" s="94"/>
      <c r="X125" s="94"/>
      <c r="Y125" s="94"/>
      <c r="Z125" s="94"/>
      <c r="AA125" s="94"/>
      <c r="AB125" s="94"/>
      <c r="AC125" s="105" t="str">
        <f>IFERROR(VLOOKUP(Z125,'【参考】数式用'!$A$4:$B$57,2,FALSE),"")</f>
        <v/>
      </c>
      <c r="AD125" s="108"/>
      <c r="AE125" s="113"/>
      <c r="AF125" s="119">
        <f t="shared" si="2"/>
        <v>0</v>
      </c>
      <c r="AG125" s="122" t="str">
        <f>IF(B125="","",IF(AQ125="総合事業","数式を削除して手入力",IFERROR(INDEX('【参考】数式用'!$AD$3:$AF$452,MATCH(Q125&amp;V125,'【参考】数式用'!$AC$3:$AC$452,0),MATCH(VLOOKUP(Z125,'【参考】数式用'!$AG$2:$AH$56,2,FALSE),'【参考】数式用'!$AD$2:$AF$2,0)),10)))</f>
        <v/>
      </c>
      <c r="AP125" s="127" t="str">
        <f>IF($L$16="","",VLOOKUP(Z125,'【参考】数式用'!$A$2:$O$57,14,FALSE))</f>
        <v/>
      </c>
      <c r="AQ125" s="126" t="e">
        <f>VLOOKUP(Z125,'【参考】数式用'!$A$2:$O$57,15,FALSE)</f>
        <v>#N/A</v>
      </c>
    </row>
    <row r="126" spans="1:43" ht="49.9" customHeight="1">
      <c r="A126" s="29">
        <f t="shared" si="3"/>
        <v>87</v>
      </c>
      <c r="B126" s="42"/>
      <c r="C126" s="48"/>
      <c r="D126" s="48"/>
      <c r="E126" s="48"/>
      <c r="F126" s="48"/>
      <c r="G126" s="48"/>
      <c r="H126" s="48"/>
      <c r="I126" s="48"/>
      <c r="J126" s="48"/>
      <c r="K126" s="48"/>
      <c r="L126" s="63"/>
      <c r="M126" s="63"/>
      <c r="N126" s="63"/>
      <c r="O126" s="63"/>
      <c r="P126" s="63"/>
      <c r="Q126" s="77"/>
      <c r="R126" s="77"/>
      <c r="S126" s="77"/>
      <c r="T126" s="77"/>
      <c r="U126" s="77"/>
      <c r="V126" s="63"/>
      <c r="W126" s="94"/>
      <c r="X126" s="94"/>
      <c r="Y126" s="94"/>
      <c r="Z126" s="94"/>
      <c r="AA126" s="94"/>
      <c r="AB126" s="94"/>
      <c r="AC126" s="105" t="str">
        <f>IFERROR(VLOOKUP(Z126,'【参考】数式用'!$A$4:$B$57,2,FALSE),"")</f>
        <v/>
      </c>
      <c r="AD126" s="108"/>
      <c r="AE126" s="113"/>
      <c r="AF126" s="119">
        <f t="shared" si="2"/>
        <v>0</v>
      </c>
      <c r="AG126" s="122" t="str">
        <f>IF(B126="","",IF(AQ126="総合事業","数式を削除して手入力",IFERROR(INDEX('【参考】数式用'!$AD$3:$AF$452,MATCH(Q126&amp;V126,'【参考】数式用'!$AC$3:$AC$452,0),MATCH(VLOOKUP(Z126,'【参考】数式用'!$AG$2:$AH$56,2,FALSE),'【参考】数式用'!$AD$2:$AF$2,0)),10)))</f>
        <v/>
      </c>
      <c r="AP126" s="127" t="str">
        <f>IF($L$16="","",VLOOKUP(Z126,'【参考】数式用'!$A$2:$O$57,14,FALSE))</f>
        <v/>
      </c>
      <c r="AQ126" s="126" t="e">
        <f>VLOOKUP(Z126,'【参考】数式用'!$A$2:$O$57,15,FALSE)</f>
        <v>#N/A</v>
      </c>
    </row>
    <row r="127" spans="1:43" ht="49.9" customHeight="1">
      <c r="A127" s="29">
        <f t="shared" si="3"/>
        <v>88</v>
      </c>
      <c r="B127" s="42"/>
      <c r="C127" s="48"/>
      <c r="D127" s="48"/>
      <c r="E127" s="48"/>
      <c r="F127" s="48"/>
      <c r="G127" s="48"/>
      <c r="H127" s="48"/>
      <c r="I127" s="48"/>
      <c r="J127" s="48"/>
      <c r="K127" s="48"/>
      <c r="L127" s="63"/>
      <c r="M127" s="63"/>
      <c r="N127" s="63"/>
      <c r="O127" s="63"/>
      <c r="P127" s="63"/>
      <c r="Q127" s="77"/>
      <c r="R127" s="77"/>
      <c r="S127" s="77"/>
      <c r="T127" s="77"/>
      <c r="U127" s="77"/>
      <c r="V127" s="63"/>
      <c r="W127" s="94"/>
      <c r="X127" s="94"/>
      <c r="Y127" s="94"/>
      <c r="Z127" s="94"/>
      <c r="AA127" s="94"/>
      <c r="AB127" s="94"/>
      <c r="AC127" s="105" t="str">
        <f>IFERROR(VLOOKUP(Z127,'【参考】数式用'!$A$4:$B$57,2,FALSE),"")</f>
        <v/>
      </c>
      <c r="AD127" s="108"/>
      <c r="AE127" s="113"/>
      <c r="AF127" s="119">
        <f t="shared" si="2"/>
        <v>0</v>
      </c>
      <c r="AG127" s="122" t="str">
        <f>IF(B127="","",IF(AQ127="総合事業","数式を削除して手入力",IFERROR(INDEX('【参考】数式用'!$AD$3:$AF$452,MATCH(Q127&amp;V127,'【参考】数式用'!$AC$3:$AC$452,0),MATCH(VLOOKUP(Z127,'【参考】数式用'!$AG$2:$AH$56,2,FALSE),'【参考】数式用'!$AD$2:$AF$2,0)),10)))</f>
        <v/>
      </c>
      <c r="AP127" s="127" t="str">
        <f>IF($L$16="","",VLOOKUP(Z127,'【参考】数式用'!$A$2:$O$57,14,FALSE))</f>
        <v/>
      </c>
      <c r="AQ127" s="126" t="e">
        <f>VLOOKUP(Z127,'【参考】数式用'!$A$2:$O$57,15,FALSE)</f>
        <v>#N/A</v>
      </c>
    </row>
    <row r="128" spans="1:43" ht="49.9" customHeight="1">
      <c r="A128" s="29">
        <f t="shared" si="3"/>
        <v>89</v>
      </c>
      <c r="B128" s="42"/>
      <c r="C128" s="48"/>
      <c r="D128" s="48"/>
      <c r="E128" s="48"/>
      <c r="F128" s="48"/>
      <c r="G128" s="48"/>
      <c r="H128" s="48"/>
      <c r="I128" s="48"/>
      <c r="J128" s="48"/>
      <c r="K128" s="48"/>
      <c r="L128" s="63"/>
      <c r="M128" s="63"/>
      <c r="N128" s="63"/>
      <c r="O128" s="63"/>
      <c r="P128" s="63"/>
      <c r="Q128" s="77"/>
      <c r="R128" s="77"/>
      <c r="S128" s="77"/>
      <c r="T128" s="77"/>
      <c r="U128" s="77"/>
      <c r="V128" s="63"/>
      <c r="W128" s="94"/>
      <c r="X128" s="94"/>
      <c r="Y128" s="94"/>
      <c r="Z128" s="94"/>
      <c r="AA128" s="94"/>
      <c r="AB128" s="94"/>
      <c r="AC128" s="105" t="str">
        <f>IFERROR(VLOOKUP(Z128,'【参考】数式用'!$A$4:$B$57,2,FALSE),"")</f>
        <v/>
      </c>
      <c r="AD128" s="108"/>
      <c r="AE128" s="113"/>
      <c r="AF128" s="119">
        <f t="shared" si="2"/>
        <v>0</v>
      </c>
      <c r="AG128" s="122" t="str">
        <f>IF(B128="","",IF(AQ128="総合事業","数式を削除して手入力",IFERROR(INDEX('【参考】数式用'!$AD$3:$AF$452,MATCH(Q128&amp;V128,'【参考】数式用'!$AC$3:$AC$452,0),MATCH(VLOOKUP(Z128,'【参考】数式用'!$AG$2:$AH$56,2,FALSE),'【参考】数式用'!$AD$2:$AF$2,0)),10)))</f>
        <v/>
      </c>
      <c r="AP128" s="127" t="str">
        <f>IF($L$16="","",VLOOKUP(Z128,'【参考】数式用'!$A$2:$O$57,14,FALSE))</f>
        <v/>
      </c>
      <c r="AQ128" s="126" t="e">
        <f>VLOOKUP(Z128,'【参考】数式用'!$A$2:$O$57,15,FALSE)</f>
        <v>#N/A</v>
      </c>
    </row>
    <row r="129" spans="1:43" ht="49.9" customHeight="1">
      <c r="A129" s="29">
        <f t="shared" si="3"/>
        <v>90</v>
      </c>
      <c r="B129" s="42"/>
      <c r="C129" s="48"/>
      <c r="D129" s="48"/>
      <c r="E129" s="48"/>
      <c r="F129" s="48"/>
      <c r="G129" s="48"/>
      <c r="H129" s="48"/>
      <c r="I129" s="48"/>
      <c r="J129" s="48"/>
      <c r="K129" s="48"/>
      <c r="L129" s="63"/>
      <c r="M129" s="63"/>
      <c r="N129" s="63"/>
      <c r="O129" s="63"/>
      <c r="P129" s="63"/>
      <c r="Q129" s="77"/>
      <c r="R129" s="77"/>
      <c r="S129" s="77"/>
      <c r="T129" s="77"/>
      <c r="U129" s="77"/>
      <c r="V129" s="63"/>
      <c r="W129" s="94"/>
      <c r="X129" s="94"/>
      <c r="Y129" s="94"/>
      <c r="Z129" s="94"/>
      <c r="AA129" s="94"/>
      <c r="AB129" s="94"/>
      <c r="AC129" s="105" t="str">
        <f>IFERROR(VLOOKUP(Z129,'【参考】数式用'!$A$4:$B$57,2,FALSE),"")</f>
        <v/>
      </c>
      <c r="AD129" s="108"/>
      <c r="AE129" s="113"/>
      <c r="AF129" s="119">
        <f t="shared" si="2"/>
        <v>0</v>
      </c>
      <c r="AG129" s="122" t="str">
        <f>IF(B129="","",IF(AQ129="総合事業","数式を削除して手入力",IFERROR(INDEX('【参考】数式用'!$AD$3:$AF$452,MATCH(Q129&amp;V129,'【参考】数式用'!$AC$3:$AC$452,0),MATCH(VLOOKUP(Z129,'【参考】数式用'!$AG$2:$AH$56,2,FALSE),'【参考】数式用'!$AD$2:$AF$2,0)),10)))</f>
        <v/>
      </c>
      <c r="AP129" s="127" t="str">
        <f>IF($L$16="","",VLOOKUP(Z129,'【参考】数式用'!$A$2:$O$57,14,FALSE))</f>
        <v/>
      </c>
      <c r="AQ129" s="126" t="e">
        <f>VLOOKUP(Z129,'【参考】数式用'!$A$2:$O$57,15,FALSE)</f>
        <v>#N/A</v>
      </c>
    </row>
    <row r="130" spans="1:43" ht="49.9" customHeight="1">
      <c r="A130" s="29">
        <f t="shared" si="3"/>
        <v>91</v>
      </c>
      <c r="B130" s="42"/>
      <c r="C130" s="48"/>
      <c r="D130" s="48"/>
      <c r="E130" s="48"/>
      <c r="F130" s="48"/>
      <c r="G130" s="48"/>
      <c r="H130" s="48"/>
      <c r="I130" s="48"/>
      <c r="J130" s="48"/>
      <c r="K130" s="48"/>
      <c r="L130" s="63"/>
      <c r="M130" s="63"/>
      <c r="N130" s="63"/>
      <c r="O130" s="63"/>
      <c r="P130" s="63"/>
      <c r="Q130" s="77"/>
      <c r="R130" s="77"/>
      <c r="S130" s="77"/>
      <c r="T130" s="77"/>
      <c r="U130" s="77"/>
      <c r="V130" s="63"/>
      <c r="W130" s="94"/>
      <c r="X130" s="94"/>
      <c r="Y130" s="94"/>
      <c r="Z130" s="94"/>
      <c r="AA130" s="94"/>
      <c r="AB130" s="94"/>
      <c r="AC130" s="105" t="str">
        <f>IFERROR(VLOOKUP(Z130,'【参考】数式用'!$A$4:$B$57,2,FALSE),"")</f>
        <v/>
      </c>
      <c r="AD130" s="108"/>
      <c r="AE130" s="113"/>
      <c r="AF130" s="119">
        <f t="shared" si="2"/>
        <v>0</v>
      </c>
      <c r="AG130" s="122" t="str">
        <f>IF(B130="","",IF(AQ130="総合事業","数式を削除して手入力",IFERROR(INDEX('【参考】数式用'!$AD$3:$AF$452,MATCH(Q130&amp;V130,'【参考】数式用'!$AC$3:$AC$452,0),MATCH(VLOOKUP(Z130,'【参考】数式用'!$AG$2:$AH$56,2,FALSE),'【参考】数式用'!$AD$2:$AF$2,0)),10)))</f>
        <v/>
      </c>
      <c r="AP130" s="127" t="str">
        <f>IF($L$16="","",VLOOKUP(Z130,'【参考】数式用'!$A$2:$O$57,14,FALSE))</f>
        <v/>
      </c>
      <c r="AQ130" s="126" t="e">
        <f>VLOOKUP(Z130,'【参考】数式用'!$A$2:$O$57,15,FALSE)</f>
        <v>#N/A</v>
      </c>
    </row>
    <row r="131" spans="1:43" ht="49.9" customHeight="1">
      <c r="A131" s="29">
        <f t="shared" si="3"/>
        <v>92</v>
      </c>
      <c r="B131" s="42"/>
      <c r="C131" s="48"/>
      <c r="D131" s="48"/>
      <c r="E131" s="48"/>
      <c r="F131" s="48"/>
      <c r="G131" s="48"/>
      <c r="H131" s="48"/>
      <c r="I131" s="48"/>
      <c r="J131" s="48"/>
      <c r="K131" s="48"/>
      <c r="L131" s="63"/>
      <c r="M131" s="63"/>
      <c r="N131" s="63"/>
      <c r="O131" s="63"/>
      <c r="P131" s="63"/>
      <c r="Q131" s="77"/>
      <c r="R131" s="77"/>
      <c r="S131" s="77"/>
      <c r="T131" s="77"/>
      <c r="U131" s="77"/>
      <c r="V131" s="63"/>
      <c r="W131" s="94"/>
      <c r="X131" s="94"/>
      <c r="Y131" s="94"/>
      <c r="Z131" s="94"/>
      <c r="AA131" s="94"/>
      <c r="AB131" s="94"/>
      <c r="AC131" s="105" t="str">
        <f>IFERROR(VLOOKUP(Z131,'【参考】数式用'!$A$4:$B$57,2,FALSE),"")</f>
        <v/>
      </c>
      <c r="AD131" s="108"/>
      <c r="AE131" s="113"/>
      <c r="AF131" s="119">
        <f t="shared" si="2"/>
        <v>0</v>
      </c>
      <c r="AG131" s="122" t="str">
        <f>IF(B131="","",IF(AQ131="総合事業","数式を削除して手入力",IFERROR(INDEX('【参考】数式用'!$AD$3:$AF$452,MATCH(Q131&amp;V131,'【参考】数式用'!$AC$3:$AC$452,0),MATCH(VLOOKUP(Z131,'【参考】数式用'!$AG$2:$AH$56,2,FALSE),'【参考】数式用'!$AD$2:$AF$2,0)),10)))</f>
        <v/>
      </c>
      <c r="AP131" s="127" t="str">
        <f>IF($L$16="","",VLOOKUP(Z131,'【参考】数式用'!$A$2:$O$57,14,FALSE))</f>
        <v/>
      </c>
      <c r="AQ131" s="126" t="e">
        <f>VLOOKUP(Z131,'【参考】数式用'!$A$2:$O$57,15,FALSE)</f>
        <v>#N/A</v>
      </c>
    </row>
    <row r="132" spans="1:43" ht="49.9" customHeight="1">
      <c r="A132" s="29">
        <f t="shared" si="3"/>
        <v>93</v>
      </c>
      <c r="B132" s="42"/>
      <c r="C132" s="48"/>
      <c r="D132" s="48"/>
      <c r="E132" s="48"/>
      <c r="F132" s="48"/>
      <c r="G132" s="48"/>
      <c r="H132" s="48"/>
      <c r="I132" s="48"/>
      <c r="J132" s="48"/>
      <c r="K132" s="48"/>
      <c r="L132" s="63"/>
      <c r="M132" s="63"/>
      <c r="N132" s="63"/>
      <c r="O132" s="63"/>
      <c r="P132" s="63"/>
      <c r="Q132" s="77"/>
      <c r="R132" s="77"/>
      <c r="S132" s="77"/>
      <c r="T132" s="77"/>
      <c r="U132" s="77"/>
      <c r="V132" s="63"/>
      <c r="W132" s="94"/>
      <c r="X132" s="94"/>
      <c r="Y132" s="94"/>
      <c r="Z132" s="94"/>
      <c r="AA132" s="94"/>
      <c r="AB132" s="94"/>
      <c r="AC132" s="105" t="str">
        <f>IFERROR(VLOOKUP(Z132,'【参考】数式用'!$A$4:$B$57,2,FALSE),"")</f>
        <v/>
      </c>
      <c r="AD132" s="108"/>
      <c r="AE132" s="113"/>
      <c r="AF132" s="119">
        <f t="shared" si="2"/>
        <v>0</v>
      </c>
      <c r="AG132" s="122" t="str">
        <f>IF(B132="","",IF(AQ132="総合事業","数式を削除して手入力",IFERROR(INDEX('【参考】数式用'!$AD$3:$AF$452,MATCH(Q132&amp;V132,'【参考】数式用'!$AC$3:$AC$452,0),MATCH(VLOOKUP(Z132,'【参考】数式用'!$AG$2:$AH$56,2,FALSE),'【参考】数式用'!$AD$2:$AF$2,0)),10)))</f>
        <v/>
      </c>
      <c r="AP132" s="127" t="str">
        <f>IF($L$16="","",VLOOKUP(Z132,'【参考】数式用'!$A$2:$O$57,14,FALSE))</f>
        <v/>
      </c>
      <c r="AQ132" s="126" t="e">
        <f>VLOOKUP(Z132,'【参考】数式用'!$A$2:$O$57,15,FALSE)</f>
        <v>#N/A</v>
      </c>
    </row>
    <row r="133" spans="1:43" ht="49.9" customHeight="1">
      <c r="A133" s="29">
        <f t="shared" si="3"/>
        <v>94</v>
      </c>
      <c r="B133" s="42"/>
      <c r="C133" s="48"/>
      <c r="D133" s="48"/>
      <c r="E133" s="48"/>
      <c r="F133" s="48"/>
      <c r="G133" s="48"/>
      <c r="H133" s="48"/>
      <c r="I133" s="48"/>
      <c r="J133" s="48"/>
      <c r="K133" s="48"/>
      <c r="L133" s="63"/>
      <c r="M133" s="63"/>
      <c r="N133" s="63"/>
      <c r="O133" s="63"/>
      <c r="P133" s="63"/>
      <c r="Q133" s="77"/>
      <c r="R133" s="77"/>
      <c r="S133" s="77"/>
      <c r="T133" s="77"/>
      <c r="U133" s="77"/>
      <c r="V133" s="63"/>
      <c r="W133" s="94"/>
      <c r="X133" s="94"/>
      <c r="Y133" s="94"/>
      <c r="Z133" s="94"/>
      <c r="AA133" s="94"/>
      <c r="AB133" s="94"/>
      <c r="AC133" s="105" t="str">
        <f>IFERROR(VLOOKUP(Z133,'【参考】数式用'!$A$4:$B$57,2,FALSE),"")</f>
        <v/>
      </c>
      <c r="AD133" s="108"/>
      <c r="AE133" s="113"/>
      <c r="AF133" s="119">
        <f t="shared" si="2"/>
        <v>0</v>
      </c>
      <c r="AG133" s="122" t="str">
        <f>IF(B133="","",IF(AQ133="総合事業","数式を削除して手入力",IFERROR(INDEX('【参考】数式用'!$AD$3:$AF$452,MATCH(Q133&amp;V133,'【参考】数式用'!$AC$3:$AC$452,0),MATCH(VLOOKUP(Z133,'【参考】数式用'!$AG$2:$AH$56,2,FALSE),'【参考】数式用'!$AD$2:$AF$2,0)),10)))</f>
        <v/>
      </c>
      <c r="AP133" s="127" t="str">
        <f>IF($L$16="","",VLOOKUP(Z133,'【参考】数式用'!$A$2:$O$57,14,FALSE))</f>
        <v/>
      </c>
      <c r="AQ133" s="126" t="e">
        <f>VLOOKUP(Z133,'【参考】数式用'!$A$2:$O$57,15,FALSE)</f>
        <v>#N/A</v>
      </c>
    </row>
    <row r="134" spans="1:43" ht="49.9" customHeight="1">
      <c r="A134" s="29">
        <f t="shared" si="3"/>
        <v>95</v>
      </c>
      <c r="B134" s="42"/>
      <c r="C134" s="48"/>
      <c r="D134" s="48"/>
      <c r="E134" s="48"/>
      <c r="F134" s="48"/>
      <c r="G134" s="48"/>
      <c r="H134" s="48"/>
      <c r="I134" s="48"/>
      <c r="J134" s="48"/>
      <c r="K134" s="48"/>
      <c r="L134" s="63"/>
      <c r="M134" s="63"/>
      <c r="N134" s="63"/>
      <c r="O134" s="63"/>
      <c r="P134" s="63"/>
      <c r="Q134" s="77"/>
      <c r="R134" s="77"/>
      <c r="S134" s="77"/>
      <c r="T134" s="77"/>
      <c r="U134" s="77"/>
      <c r="V134" s="63"/>
      <c r="W134" s="94"/>
      <c r="X134" s="94"/>
      <c r="Y134" s="94"/>
      <c r="Z134" s="94"/>
      <c r="AA134" s="94"/>
      <c r="AB134" s="94"/>
      <c r="AC134" s="105" t="str">
        <f>IFERROR(VLOOKUP(Z134,'【参考】数式用'!$A$4:$B$57,2,FALSE),"")</f>
        <v/>
      </c>
      <c r="AD134" s="108"/>
      <c r="AE134" s="113"/>
      <c r="AF134" s="119">
        <f t="shared" si="2"/>
        <v>0</v>
      </c>
      <c r="AG134" s="122" t="str">
        <f>IF(B134="","",IF(AQ134="総合事業","数式を削除して手入力",IFERROR(INDEX('【参考】数式用'!$AD$3:$AF$452,MATCH(Q134&amp;V134,'【参考】数式用'!$AC$3:$AC$452,0),MATCH(VLOOKUP(Z134,'【参考】数式用'!$AG$2:$AH$56,2,FALSE),'【参考】数式用'!$AD$2:$AF$2,0)),10)))</f>
        <v/>
      </c>
      <c r="AP134" s="127" t="str">
        <f>IF($L$16="","",VLOOKUP(Z134,'【参考】数式用'!$A$2:$O$57,14,FALSE))</f>
        <v/>
      </c>
      <c r="AQ134" s="126" t="e">
        <f>VLOOKUP(Z134,'【参考】数式用'!$A$2:$O$57,15,FALSE)</f>
        <v>#N/A</v>
      </c>
    </row>
    <row r="135" spans="1:43" ht="49.9" customHeight="1">
      <c r="A135" s="29">
        <f t="shared" si="3"/>
        <v>96</v>
      </c>
      <c r="B135" s="42"/>
      <c r="C135" s="48"/>
      <c r="D135" s="48"/>
      <c r="E135" s="48"/>
      <c r="F135" s="48"/>
      <c r="G135" s="48"/>
      <c r="H135" s="48"/>
      <c r="I135" s="48"/>
      <c r="J135" s="48"/>
      <c r="K135" s="48"/>
      <c r="L135" s="63"/>
      <c r="M135" s="63"/>
      <c r="N135" s="63"/>
      <c r="O135" s="63"/>
      <c r="P135" s="63"/>
      <c r="Q135" s="77"/>
      <c r="R135" s="77"/>
      <c r="S135" s="77"/>
      <c r="T135" s="77"/>
      <c r="U135" s="77"/>
      <c r="V135" s="63"/>
      <c r="W135" s="94"/>
      <c r="X135" s="94"/>
      <c r="Y135" s="94"/>
      <c r="Z135" s="94"/>
      <c r="AA135" s="94"/>
      <c r="AB135" s="94"/>
      <c r="AC135" s="105" t="str">
        <f>IFERROR(VLOOKUP(Z135,'【参考】数式用'!$A$4:$B$57,2,FALSE),"")</f>
        <v/>
      </c>
      <c r="AD135" s="108"/>
      <c r="AE135" s="113"/>
      <c r="AF135" s="119">
        <f t="shared" si="2"/>
        <v>0</v>
      </c>
      <c r="AG135" s="122" t="str">
        <f>IF(B135="","",IF(AQ135="総合事業","数式を削除して手入力",IFERROR(INDEX('【参考】数式用'!$AD$3:$AF$452,MATCH(Q135&amp;V135,'【参考】数式用'!$AC$3:$AC$452,0),MATCH(VLOOKUP(Z135,'【参考】数式用'!$AG$2:$AH$56,2,FALSE),'【参考】数式用'!$AD$2:$AF$2,0)),10)))</f>
        <v/>
      </c>
      <c r="AP135" s="127" t="str">
        <f>IF($L$16="","",VLOOKUP(Z135,'【参考】数式用'!$A$2:$O$57,14,FALSE))</f>
        <v/>
      </c>
      <c r="AQ135" s="126" t="e">
        <f>VLOOKUP(Z135,'【参考】数式用'!$A$2:$O$57,15,FALSE)</f>
        <v>#N/A</v>
      </c>
    </row>
    <row r="136" spans="1:43" ht="49.9" customHeight="1">
      <c r="A136" s="29">
        <f t="shared" si="3"/>
        <v>97</v>
      </c>
      <c r="B136" s="42"/>
      <c r="C136" s="48"/>
      <c r="D136" s="48"/>
      <c r="E136" s="48"/>
      <c r="F136" s="48"/>
      <c r="G136" s="48"/>
      <c r="H136" s="48"/>
      <c r="I136" s="48"/>
      <c r="J136" s="48"/>
      <c r="K136" s="48"/>
      <c r="L136" s="63"/>
      <c r="M136" s="63"/>
      <c r="N136" s="63"/>
      <c r="O136" s="63"/>
      <c r="P136" s="63"/>
      <c r="Q136" s="77"/>
      <c r="R136" s="77"/>
      <c r="S136" s="77"/>
      <c r="T136" s="77"/>
      <c r="U136" s="77"/>
      <c r="V136" s="63"/>
      <c r="W136" s="94"/>
      <c r="X136" s="94"/>
      <c r="Y136" s="94"/>
      <c r="Z136" s="94"/>
      <c r="AA136" s="94"/>
      <c r="AB136" s="94"/>
      <c r="AC136" s="105" t="str">
        <f>IFERROR(VLOOKUP(Z136,'【参考】数式用'!$A$4:$B$57,2,FALSE),"")</f>
        <v/>
      </c>
      <c r="AD136" s="108"/>
      <c r="AE136" s="113"/>
      <c r="AF136" s="119">
        <f t="shared" si="2"/>
        <v>0</v>
      </c>
      <c r="AG136" s="122" t="str">
        <f>IF(B136="","",IF(AQ136="総合事業","数式を削除して手入力",IFERROR(INDEX('【参考】数式用'!$AD$3:$AF$452,MATCH(Q136&amp;V136,'【参考】数式用'!$AC$3:$AC$452,0),MATCH(VLOOKUP(Z136,'【参考】数式用'!$AG$2:$AH$56,2,FALSE),'【参考】数式用'!$AD$2:$AF$2,0)),10)))</f>
        <v/>
      </c>
      <c r="AP136" s="127" t="str">
        <f>IF($L$16="","",VLOOKUP(Z136,'【参考】数式用'!$A$2:$O$57,14,FALSE))</f>
        <v/>
      </c>
      <c r="AQ136" s="126" t="e">
        <f>VLOOKUP(Z136,'【参考】数式用'!$A$2:$O$57,15,FALSE)</f>
        <v>#N/A</v>
      </c>
    </row>
    <row r="137" spans="1:43" ht="49.9" customHeight="1">
      <c r="A137" s="29">
        <f t="shared" si="3"/>
        <v>98</v>
      </c>
      <c r="B137" s="42"/>
      <c r="C137" s="48"/>
      <c r="D137" s="48"/>
      <c r="E137" s="48"/>
      <c r="F137" s="48"/>
      <c r="G137" s="48"/>
      <c r="H137" s="48"/>
      <c r="I137" s="48"/>
      <c r="J137" s="48"/>
      <c r="K137" s="48"/>
      <c r="L137" s="63"/>
      <c r="M137" s="63"/>
      <c r="N137" s="63"/>
      <c r="O137" s="63"/>
      <c r="P137" s="63"/>
      <c r="Q137" s="77"/>
      <c r="R137" s="77"/>
      <c r="S137" s="77"/>
      <c r="T137" s="77"/>
      <c r="U137" s="77"/>
      <c r="V137" s="63"/>
      <c r="W137" s="94"/>
      <c r="X137" s="94"/>
      <c r="Y137" s="94"/>
      <c r="Z137" s="94"/>
      <c r="AA137" s="94"/>
      <c r="AB137" s="94"/>
      <c r="AC137" s="105" t="str">
        <f>IFERROR(VLOOKUP(Z137,'【参考】数式用'!$A$4:$B$57,2,FALSE),"")</f>
        <v/>
      </c>
      <c r="AD137" s="108"/>
      <c r="AE137" s="113"/>
      <c r="AF137" s="119">
        <f t="shared" si="2"/>
        <v>0</v>
      </c>
      <c r="AG137" s="122" t="str">
        <f>IF(B137="","",IF(AQ137="総合事業","数式を削除して手入力",IFERROR(INDEX('【参考】数式用'!$AD$3:$AF$452,MATCH(Q137&amp;V137,'【参考】数式用'!$AC$3:$AC$452,0),MATCH(VLOOKUP(Z137,'【参考】数式用'!$AG$2:$AH$56,2,FALSE),'【参考】数式用'!$AD$2:$AF$2,0)),10)))</f>
        <v/>
      </c>
      <c r="AP137" s="127" t="str">
        <f>IF($L$16="","",VLOOKUP(Z137,'【参考】数式用'!$A$2:$O$57,14,FALSE))</f>
        <v/>
      </c>
      <c r="AQ137" s="126" t="e">
        <f>VLOOKUP(Z137,'【参考】数式用'!$A$2:$O$57,15,FALSE)</f>
        <v>#N/A</v>
      </c>
    </row>
    <row r="138" spans="1:43" ht="49.9" customHeight="1">
      <c r="A138" s="29">
        <f t="shared" si="3"/>
        <v>99</v>
      </c>
      <c r="B138" s="42"/>
      <c r="C138" s="48"/>
      <c r="D138" s="48"/>
      <c r="E138" s="48"/>
      <c r="F138" s="48"/>
      <c r="G138" s="48"/>
      <c r="H138" s="48"/>
      <c r="I138" s="48"/>
      <c r="J138" s="48"/>
      <c r="K138" s="48"/>
      <c r="L138" s="63"/>
      <c r="M138" s="63"/>
      <c r="N138" s="63"/>
      <c r="O138" s="63"/>
      <c r="P138" s="63"/>
      <c r="Q138" s="77"/>
      <c r="R138" s="77"/>
      <c r="S138" s="77"/>
      <c r="T138" s="77"/>
      <c r="U138" s="77"/>
      <c r="V138" s="63"/>
      <c r="W138" s="94"/>
      <c r="X138" s="94"/>
      <c r="Y138" s="94"/>
      <c r="Z138" s="94"/>
      <c r="AA138" s="94"/>
      <c r="AB138" s="94"/>
      <c r="AC138" s="105" t="str">
        <f>IFERROR(VLOOKUP(Z138,'【参考】数式用'!$A$4:$B$57,2,FALSE),"")</f>
        <v/>
      </c>
      <c r="AD138" s="108"/>
      <c r="AE138" s="113"/>
      <c r="AF138" s="119">
        <f t="shared" si="2"/>
        <v>0</v>
      </c>
      <c r="AG138" s="122" t="str">
        <f>IF(B138="","",IF(AQ138="総合事業","数式を削除して手入力",IFERROR(INDEX('【参考】数式用'!$AD$3:$AF$452,MATCH(Q138&amp;V138,'【参考】数式用'!$AC$3:$AC$452,0),MATCH(VLOOKUP(Z138,'【参考】数式用'!$AG$2:$AH$56,2,FALSE),'【参考】数式用'!$AD$2:$AF$2,0)),10)))</f>
        <v/>
      </c>
      <c r="AP138" s="127" t="str">
        <f>IF($L$16="","",VLOOKUP(Z138,'【参考】数式用'!$A$2:$O$57,14,FALSE))</f>
        <v/>
      </c>
      <c r="AQ138" s="126" t="e">
        <f>VLOOKUP(Z138,'【参考】数式用'!$A$2:$O$57,15,FALSE)</f>
        <v>#N/A</v>
      </c>
    </row>
    <row r="139" spans="1:43" ht="49.9" customHeight="1">
      <c r="A139" s="29">
        <f t="shared" si="3"/>
        <v>100</v>
      </c>
      <c r="B139" s="42"/>
      <c r="C139" s="48"/>
      <c r="D139" s="48"/>
      <c r="E139" s="48"/>
      <c r="F139" s="48"/>
      <c r="G139" s="48"/>
      <c r="H139" s="48"/>
      <c r="I139" s="48"/>
      <c r="J139" s="48"/>
      <c r="K139" s="48"/>
      <c r="L139" s="63"/>
      <c r="M139" s="63"/>
      <c r="N139" s="63"/>
      <c r="O139" s="63"/>
      <c r="P139" s="63"/>
      <c r="Q139" s="77"/>
      <c r="R139" s="77"/>
      <c r="S139" s="77"/>
      <c r="T139" s="77"/>
      <c r="U139" s="77"/>
      <c r="V139" s="63"/>
      <c r="W139" s="94"/>
      <c r="X139" s="94"/>
      <c r="Y139" s="94"/>
      <c r="Z139" s="94"/>
      <c r="AA139" s="94"/>
      <c r="AB139" s="94"/>
      <c r="AC139" s="105" t="str">
        <f>IFERROR(VLOOKUP(Z139,'【参考】数式用'!$A$4:$B$57,2,FALSE),"")</f>
        <v/>
      </c>
      <c r="AD139" s="108"/>
      <c r="AE139" s="113"/>
      <c r="AF139" s="119">
        <f t="shared" si="2"/>
        <v>0</v>
      </c>
      <c r="AG139" s="122" t="str">
        <f>IF(B139="","",IF(AQ139="総合事業","数式を削除して手入力",IFERROR(INDEX('【参考】数式用'!$AD$3:$AF$452,MATCH(Q139&amp;V139,'【参考】数式用'!$AC$3:$AC$452,0),MATCH(VLOOKUP(Z139,'【参考】数式用'!$AG$2:$AH$56,2,FALSE),'【参考】数式用'!$AD$2:$AF$2,0)),10)))</f>
        <v/>
      </c>
      <c r="AP139" s="127" t="str">
        <f>IF($L$16="","",VLOOKUP(Z139,'【参考】数式用'!$A$2:$O$57,14,FALSE))</f>
        <v/>
      </c>
      <c r="AQ139" s="126"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5"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pageSetup paperSize="9" scale="11" fitToWidth="1" fitToHeight="1"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H162"/>
  <sheetViews>
    <sheetView view="pageBreakPreview" topLeftCell="A121" zoomScale="86" zoomScaleNormal="120" zoomScaleSheetLayoutView="86" workbookViewId="0">
      <selection activeCell="BG20" sqref="BG20"/>
    </sheetView>
  </sheetViews>
  <sheetFormatPr defaultColWidth="2.5" defaultRowHeight="13.2"/>
  <cols>
    <col min="1" max="1" width="2.125" customWidth="1"/>
    <col min="2" max="2" width="3.125" customWidth="1"/>
    <col min="5" max="5" width="3" customWidth="1"/>
    <col min="15" max="15" width="1.5" customWidth="1"/>
    <col min="16" max="16" width="8.125" customWidth="1"/>
    <col min="19" max="19" width="3.5" customWidth="1"/>
    <col min="29" max="29" width="3.5" customWidth="1"/>
    <col min="30" max="30" width="4.5" customWidth="1"/>
    <col min="36" max="36" width="4.5" customWidth="1"/>
    <col min="37" max="37" width="7.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c r="A1" s="133"/>
      <c r="B1" s="139" t="s">
        <v>189</v>
      </c>
      <c r="C1" s="135"/>
      <c r="D1" s="135"/>
      <c r="E1" s="135"/>
      <c r="F1" s="135"/>
      <c r="G1" s="135"/>
      <c r="H1" s="135"/>
      <c r="I1" s="135"/>
      <c r="J1" s="135"/>
      <c r="K1" s="135"/>
      <c r="L1" s="135"/>
      <c r="M1" s="135"/>
      <c r="N1" s="135"/>
      <c r="O1" s="135"/>
      <c r="P1" s="135"/>
      <c r="Q1" s="135"/>
      <c r="R1" s="135"/>
      <c r="S1" s="135"/>
      <c r="T1" s="135"/>
      <c r="U1" s="135"/>
      <c r="V1" s="135"/>
      <c r="W1" s="135"/>
      <c r="X1" s="135"/>
      <c r="Y1" s="135"/>
      <c r="Z1" s="61"/>
      <c r="AA1" s="61"/>
      <c r="AB1" s="61"/>
      <c r="AC1" s="357" t="s">
        <v>26</v>
      </c>
      <c r="AD1" s="357"/>
      <c r="AE1" s="357"/>
      <c r="AF1" s="357" t="str">
        <f>IF(基本情報入力シート!C11="","",基本情報入力シート!C11)</f>
        <v/>
      </c>
      <c r="AG1" s="357"/>
      <c r="AH1" s="357"/>
      <c r="AI1" s="357"/>
      <c r="AJ1" s="357"/>
      <c r="AK1" s="389"/>
      <c r="AL1" s="133"/>
      <c r="AM1" s="133"/>
      <c r="AN1" s="133"/>
      <c r="AO1" s="133"/>
      <c r="AP1" s="133"/>
      <c r="AQ1" s="133"/>
      <c r="AR1" s="133"/>
      <c r="AS1" s="133"/>
      <c r="AT1" s="133"/>
      <c r="AU1" s="133"/>
      <c r="AV1" s="133"/>
      <c r="AW1" s="133"/>
      <c r="AX1" s="133"/>
      <c r="AY1" s="133"/>
    </row>
    <row r="2" spans="1:51" ht="4.1500000000000004" customHeight="1">
      <c r="A2" s="133"/>
      <c r="B2" s="135"/>
      <c r="C2" s="135"/>
      <c r="D2" s="135"/>
      <c r="E2" s="135"/>
      <c r="F2" s="135"/>
      <c r="G2" s="135"/>
      <c r="H2" s="135"/>
      <c r="I2" s="135"/>
      <c r="J2" s="135"/>
      <c r="K2" s="135"/>
      <c r="L2" s="135"/>
      <c r="M2" s="135"/>
      <c r="N2" s="135"/>
      <c r="O2" s="135"/>
      <c r="P2" s="135"/>
      <c r="Q2" s="135"/>
      <c r="R2" s="135"/>
      <c r="S2" s="135"/>
      <c r="T2" s="135"/>
      <c r="U2" s="135"/>
      <c r="V2" s="135"/>
      <c r="W2" s="135"/>
      <c r="X2" s="135"/>
      <c r="Y2" s="135"/>
      <c r="Z2" s="135"/>
      <c r="AA2" s="135"/>
      <c r="AB2" s="135"/>
      <c r="AC2" s="135"/>
      <c r="AD2" s="135"/>
      <c r="AE2" s="135"/>
      <c r="AF2" s="135"/>
      <c r="AG2" s="135"/>
      <c r="AH2" s="135"/>
      <c r="AI2" s="135"/>
      <c r="AJ2" s="135"/>
      <c r="AK2" s="135"/>
      <c r="AL2" s="133"/>
      <c r="AM2" s="133"/>
      <c r="AN2" s="133"/>
      <c r="AO2" s="133"/>
      <c r="AP2" s="133"/>
      <c r="AQ2" s="133"/>
      <c r="AR2" s="133"/>
      <c r="AS2" s="133"/>
      <c r="AT2" s="133"/>
      <c r="AU2" s="133"/>
      <c r="AV2" s="133"/>
      <c r="AW2" s="133"/>
      <c r="AX2" s="133"/>
      <c r="AY2" s="133"/>
    </row>
    <row r="3" spans="1:51" ht="18.600000000000001" customHeight="1">
      <c r="A3" s="133"/>
      <c r="B3" s="140" t="s">
        <v>194</v>
      </c>
      <c r="C3" s="140"/>
      <c r="D3" s="140"/>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140"/>
      <c r="AJ3" s="140"/>
      <c r="AK3" s="140"/>
      <c r="AL3" s="420"/>
      <c r="AM3" s="424"/>
      <c r="AN3" s="133"/>
      <c r="AO3" s="133"/>
      <c r="AP3" s="133"/>
      <c r="AQ3" s="133"/>
      <c r="AR3" s="133"/>
      <c r="AS3" s="133"/>
      <c r="AT3" s="133"/>
      <c r="AU3" s="133"/>
      <c r="AV3" s="133"/>
      <c r="AW3" s="133"/>
      <c r="AX3" s="133"/>
      <c r="AY3" s="133"/>
    </row>
    <row r="4" spans="1:51" ht="19.5" customHeight="1">
      <c r="A4" s="133"/>
      <c r="B4" s="141" t="s">
        <v>108</v>
      </c>
      <c r="C4" s="141"/>
      <c r="D4" s="141"/>
      <c r="E4" s="141"/>
      <c r="F4" s="141"/>
      <c r="G4" s="141"/>
      <c r="H4" s="141"/>
      <c r="I4" s="141"/>
      <c r="J4" s="321"/>
      <c r="K4" s="321"/>
      <c r="L4" s="321"/>
      <c r="M4" s="321"/>
      <c r="N4" s="321"/>
      <c r="O4" s="321"/>
      <c r="P4" s="321"/>
      <c r="Q4" s="321"/>
      <c r="R4" s="321"/>
      <c r="S4" s="321"/>
      <c r="T4" s="321"/>
      <c r="U4" s="321"/>
      <c r="V4" s="321"/>
      <c r="W4" s="321"/>
      <c r="X4" s="321"/>
      <c r="Y4" s="321"/>
      <c r="Z4" s="321"/>
      <c r="AA4" s="321"/>
      <c r="AB4" s="321"/>
      <c r="AC4" s="321"/>
      <c r="AD4" s="321"/>
      <c r="AE4" s="321"/>
      <c r="AF4" s="321"/>
      <c r="AG4" s="321"/>
      <c r="AH4" s="321"/>
      <c r="AI4" s="321"/>
      <c r="AJ4" s="321"/>
      <c r="AK4" s="321"/>
      <c r="AL4" s="133"/>
      <c r="AM4" s="133"/>
      <c r="AN4" s="133"/>
      <c r="AO4" s="133"/>
      <c r="AP4" s="133"/>
      <c r="AQ4" s="133"/>
      <c r="AR4" s="133"/>
      <c r="AS4" s="133"/>
      <c r="AT4" s="133"/>
      <c r="AU4" s="133"/>
      <c r="AV4" s="133"/>
      <c r="AW4" s="133"/>
      <c r="AX4" s="133"/>
      <c r="AY4" s="133"/>
    </row>
    <row r="5" spans="1:51" s="128" customFormat="1" ht="13.5" customHeight="1">
      <c r="A5" s="134"/>
      <c r="B5" s="142" t="s">
        <v>77</v>
      </c>
      <c r="C5" s="142"/>
      <c r="D5" s="142"/>
      <c r="E5" s="142"/>
      <c r="F5" s="142"/>
      <c r="G5" s="142"/>
      <c r="H5" s="307" t="str">
        <f>IF(基本情報入力シート!L15="","",基本情報入力シート!L15)</f>
        <v/>
      </c>
      <c r="I5" s="307"/>
      <c r="J5" s="307"/>
      <c r="K5" s="307"/>
      <c r="L5" s="307"/>
      <c r="M5" s="307"/>
      <c r="N5" s="307"/>
      <c r="O5" s="307"/>
      <c r="P5" s="307"/>
      <c r="Q5" s="307"/>
      <c r="R5" s="307"/>
      <c r="S5" s="307"/>
      <c r="T5" s="307"/>
      <c r="U5" s="307"/>
      <c r="V5" s="307"/>
      <c r="W5" s="307"/>
      <c r="X5" s="307"/>
      <c r="Y5" s="307"/>
      <c r="Z5" s="307"/>
      <c r="AA5" s="307"/>
      <c r="AB5" s="307"/>
      <c r="AC5" s="307"/>
      <c r="AD5" s="307"/>
      <c r="AE5" s="307"/>
      <c r="AF5" s="307"/>
      <c r="AG5" s="307"/>
      <c r="AH5" s="307"/>
      <c r="AI5" s="307"/>
      <c r="AJ5" s="307"/>
      <c r="AK5" s="390"/>
      <c r="AL5" s="134"/>
      <c r="AM5" s="134"/>
      <c r="AN5" s="134"/>
      <c r="AO5" s="134"/>
      <c r="AP5" s="134"/>
      <c r="AQ5" s="134"/>
      <c r="AR5" s="134"/>
      <c r="AS5" s="134"/>
      <c r="AT5" s="134"/>
      <c r="AU5" s="134"/>
      <c r="AV5" s="134"/>
      <c r="AW5" s="134"/>
      <c r="AX5" s="134"/>
      <c r="AY5" s="134"/>
    </row>
    <row r="6" spans="1:51" s="128" customFormat="1" ht="25.5" customHeight="1">
      <c r="A6" s="134"/>
      <c r="B6" s="143" t="s">
        <v>43</v>
      </c>
      <c r="C6" s="143"/>
      <c r="D6" s="143"/>
      <c r="E6" s="143"/>
      <c r="F6" s="143"/>
      <c r="G6" s="143"/>
      <c r="H6" s="308" t="str">
        <f>IF(基本情報入力シート!L16="","",基本情報入力シート!L16)</f>
        <v/>
      </c>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c r="AI6" s="308"/>
      <c r="AJ6" s="308"/>
      <c r="AK6" s="391"/>
      <c r="AL6" s="134"/>
      <c r="AM6" s="134"/>
      <c r="AN6" s="134"/>
      <c r="AO6" s="134"/>
      <c r="AP6" s="134"/>
      <c r="AQ6" s="134"/>
      <c r="AR6" s="134"/>
      <c r="AS6" s="134"/>
      <c r="AT6" s="134"/>
      <c r="AU6" s="134"/>
      <c r="AV6" s="134"/>
      <c r="AW6" s="134"/>
      <c r="AX6" s="134"/>
      <c r="AY6" s="134"/>
    </row>
    <row r="7" spans="1:51" s="128" customFormat="1" ht="12.75" customHeight="1">
      <c r="A7" s="134"/>
      <c r="B7" s="144" t="s">
        <v>183</v>
      </c>
      <c r="C7" s="144"/>
      <c r="D7" s="144"/>
      <c r="E7" s="144"/>
      <c r="F7" s="144"/>
      <c r="G7" s="144"/>
      <c r="H7" s="309" t="s">
        <v>89</v>
      </c>
      <c r="I7" s="315" t="str">
        <f>IF(基本情報入力シート!AO18="－","",基本情報入力シート!AO18)</f>
        <v>-</v>
      </c>
      <c r="J7" s="315"/>
      <c r="K7" s="315"/>
      <c r="L7" s="315"/>
      <c r="M7" s="327"/>
      <c r="N7" s="327"/>
      <c r="O7" s="327"/>
      <c r="P7" s="327"/>
      <c r="Q7" s="327"/>
      <c r="R7" s="327"/>
      <c r="S7" s="327"/>
      <c r="T7" s="327"/>
      <c r="U7" s="327"/>
      <c r="V7" s="327"/>
      <c r="W7" s="327"/>
      <c r="X7" s="327"/>
      <c r="Y7" s="327"/>
      <c r="Z7" s="327"/>
      <c r="AA7" s="327"/>
      <c r="AB7" s="327"/>
      <c r="AC7" s="327"/>
      <c r="AD7" s="327"/>
      <c r="AE7" s="327"/>
      <c r="AF7" s="327"/>
      <c r="AG7" s="327"/>
      <c r="AH7" s="327"/>
      <c r="AI7" s="327"/>
      <c r="AJ7" s="327"/>
      <c r="AK7" s="392"/>
      <c r="AL7" s="134"/>
      <c r="AM7" s="134"/>
      <c r="AN7" s="134"/>
      <c r="AO7" s="134"/>
      <c r="AP7" s="134"/>
      <c r="AQ7" s="134"/>
      <c r="AR7" s="134"/>
      <c r="AS7" s="134"/>
      <c r="AT7" s="134"/>
      <c r="AU7" s="134"/>
      <c r="AV7" s="134"/>
      <c r="AW7" s="134"/>
      <c r="AX7" s="134"/>
      <c r="AY7" s="134"/>
    </row>
    <row r="8" spans="1:51" s="128" customFormat="1" ht="16.5" customHeight="1">
      <c r="A8" s="134"/>
      <c r="B8" s="144"/>
      <c r="C8" s="144"/>
      <c r="D8" s="144"/>
      <c r="E8" s="144"/>
      <c r="F8" s="144"/>
      <c r="G8" s="144"/>
      <c r="H8" s="310" t="str">
        <f>IF(基本情報入力シート!L18="","",基本情報入力シート!L18)</f>
        <v/>
      </c>
      <c r="I8" s="310"/>
      <c r="J8" s="310"/>
      <c r="K8" s="310"/>
      <c r="L8" s="310"/>
      <c r="M8" s="310"/>
      <c r="N8" s="310"/>
      <c r="O8" s="310"/>
      <c r="P8" s="310"/>
      <c r="Q8" s="310"/>
      <c r="R8" s="310"/>
      <c r="S8" s="310"/>
      <c r="T8" s="310"/>
      <c r="U8" s="310"/>
      <c r="V8" s="310"/>
      <c r="W8" s="310"/>
      <c r="X8" s="310"/>
      <c r="Y8" s="310"/>
      <c r="Z8" s="310"/>
      <c r="AA8" s="310"/>
      <c r="AB8" s="310"/>
      <c r="AC8" s="310"/>
      <c r="AD8" s="310"/>
      <c r="AE8" s="310"/>
      <c r="AF8" s="310"/>
      <c r="AG8" s="310"/>
      <c r="AH8" s="310"/>
      <c r="AI8" s="310"/>
      <c r="AJ8" s="310"/>
      <c r="AK8" s="310"/>
      <c r="AL8" s="134"/>
      <c r="AM8" s="134"/>
      <c r="AN8" s="134"/>
      <c r="AO8" s="134"/>
      <c r="AP8" s="134"/>
      <c r="AQ8" s="134"/>
      <c r="AR8" s="134"/>
      <c r="AS8" s="134"/>
      <c r="AT8" s="134"/>
      <c r="AU8" s="134"/>
      <c r="AV8" s="134"/>
      <c r="AW8" s="134"/>
      <c r="AX8" s="134"/>
      <c r="AY8" s="134" t="b">
        <v>1</v>
      </c>
    </row>
    <row r="9" spans="1:51" s="128" customFormat="1" ht="16.5" customHeight="1">
      <c r="A9" s="134"/>
      <c r="B9" s="144"/>
      <c r="C9" s="144"/>
      <c r="D9" s="144"/>
      <c r="E9" s="144"/>
      <c r="F9" s="144"/>
      <c r="G9" s="144"/>
      <c r="H9" s="311" t="str">
        <f>IF(基本情報入力シート!L19="","",基本情報入力シート!L19)</f>
        <v/>
      </c>
      <c r="I9" s="311"/>
      <c r="J9" s="311"/>
      <c r="K9" s="311"/>
      <c r="L9" s="311"/>
      <c r="M9" s="311"/>
      <c r="N9" s="311"/>
      <c r="O9" s="311"/>
      <c r="P9" s="311"/>
      <c r="Q9" s="311"/>
      <c r="R9" s="311"/>
      <c r="S9" s="311"/>
      <c r="T9" s="311"/>
      <c r="U9" s="311"/>
      <c r="V9" s="311"/>
      <c r="W9" s="311"/>
      <c r="X9" s="311"/>
      <c r="Y9" s="311"/>
      <c r="Z9" s="311"/>
      <c r="AA9" s="311"/>
      <c r="AB9" s="311"/>
      <c r="AC9" s="311"/>
      <c r="AD9" s="311"/>
      <c r="AE9" s="311"/>
      <c r="AF9" s="311"/>
      <c r="AG9" s="311"/>
      <c r="AH9" s="311"/>
      <c r="AI9" s="311"/>
      <c r="AJ9" s="311"/>
      <c r="AK9" s="393"/>
      <c r="AL9" s="134"/>
      <c r="AM9" s="134"/>
      <c r="AN9" s="134"/>
      <c r="AO9" s="134"/>
      <c r="AP9" s="134"/>
      <c r="AQ9" s="134"/>
      <c r="AR9" s="134"/>
      <c r="AS9" s="134"/>
      <c r="AT9" s="134"/>
      <c r="AU9" s="134"/>
      <c r="AV9" s="134"/>
      <c r="AW9" s="134"/>
      <c r="AX9" s="134"/>
      <c r="AY9" s="134"/>
    </row>
    <row r="10" spans="1:51" s="128" customFormat="1" ht="13.5" customHeight="1">
      <c r="A10" s="134"/>
      <c r="B10" s="145" t="s">
        <v>77</v>
      </c>
      <c r="C10" s="145"/>
      <c r="D10" s="145"/>
      <c r="E10" s="145"/>
      <c r="F10" s="145"/>
      <c r="G10" s="145"/>
      <c r="H10" s="307" t="str">
        <f>IF(基本情報入力シート!L23="","",基本情報入力シート!L23)</f>
        <v/>
      </c>
      <c r="I10" s="307"/>
      <c r="J10" s="307"/>
      <c r="K10" s="307"/>
      <c r="L10" s="307"/>
      <c r="M10" s="307"/>
      <c r="N10" s="307"/>
      <c r="O10" s="307"/>
      <c r="P10" s="307"/>
      <c r="Q10" s="307"/>
      <c r="R10" s="307"/>
      <c r="S10" s="307"/>
      <c r="T10" s="307"/>
      <c r="U10" s="307"/>
      <c r="V10" s="307"/>
      <c r="W10" s="307"/>
      <c r="X10" s="307"/>
      <c r="Y10" s="307"/>
      <c r="Z10" s="307"/>
      <c r="AA10" s="307"/>
      <c r="AB10" s="307"/>
      <c r="AC10" s="307"/>
      <c r="AD10" s="307"/>
      <c r="AE10" s="307"/>
      <c r="AF10" s="307"/>
      <c r="AG10" s="307"/>
      <c r="AH10" s="307"/>
      <c r="AI10" s="307"/>
      <c r="AJ10" s="307"/>
      <c r="AK10" s="390"/>
      <c r="AL10" s="134"/>
      <c r="AM10" s="134"/>
      <c r="AN10" s="134"/>
      <c r="AO10" s="134"/>
      <c r="AP10" s="134"/>
      <c r="AQ10" s="134"/>
      <c r="AR10" s="134"/>
      <c r="AS10" s="134"/>
      <c r="AT10" s="134"/>
      <c r="AU10" s="134"/>
      <c r="AV10" s="134"/>
      <c r="AW10" s="134"/>
      <c r="AX10" s="134"/>
      <c r="AY10" s="134"/>
    </row>
    <row r="11" spans="1:51" s="128" customFormat="1" ht="22.5" customHeight="1">
      <c r="A11" s="134"/>
      <c r="B11" s="146" t="s">
        <v>198</v>
      </c>
      <c r="C11" s="146"/>
      <c r="D11" s="146"/>
      <c r="E11" s="146"/>
      <c r="F11" s="146"/>
      <c r="G11" s="146"/>
      <c r="H11" s="312" t="str">
        <f>IF(基本情報入力シート!L24="","",基本情報入力シート!L24)</f>
        <v/>
      </c>
      <c r="I11" s="312"/>
      <c r="J11" s="312"/>
      <c r="K11" s="312"/>
      <c r="L11" s="312"/>
      <c r="M11" s="312"/>
      <c r="N11" s="312"/>
      <c r="O11" s="312"/>
      <c r="P11" s="312"/>
      <c r="Q11" s="312"/>
      <c r="R11" s="312"/>
      <c r="S11" s="312"/>
      <c r="T11" s="312"/>
      <c r="U11" s="312"/>
      <c r="V11" s="312"/>
      <c r="W11" s="312"/>
      <c r="X11" s="312"/>
      <c r="Y11" s="312"/>
      <c r="Z11" s="312"/>
      <c r="AA11" s="312"/>
      <c r="AB11" s="312"/>
      <c r="AC11" s="312"/>
      <c r="AD11" s="312"/>
      <c r="AE11" s="312"/>
      <c r="AF11" s="312"/>
      <c r="AG11" s="312"/>
      <c r="AH11" s="312"/>
      <c r="AI11" s="312"/>
      <c r="AJ11" s="312"/>
      <c r="AK11" s="394"/>
      <c r="AL11" s="134"/>
      <c r="AM11" s="134"/>
      <c r="AN11" s="134"/>
      <c r="AO11" s="134"/>
      <c r="AP11" s="134"/>
      <c r="AQ11" s="134"/>
      <c r="AR11" s="134"/>
      <c r="AS11" s="134"/>
      <c r="AT11" s="134"/>
      <c r="AU11" s="134"/>
      <c r="AV11" s="134"/>
      <c r="AW11" s="134"/>
      <c r="AX11" s="134"/>
      <c r="AY11" s="134"/>
    </row>
    <row r="12" spans="1:51" s="128" customFormat="1" ht="18.75" customHeight="1">
      <c r="A12" s="134"/>
      <c r="B12" s="147" t="s">
        <v>115</v>
      </c>
      <c r="C12" s="147"/>
      <c r="D12" s="147"/>
      <c r="E12" s="147"/>
      <c r="F12" s="147"/>
      <c r="G12" s="147"/>
      <c r="H12" s="147" t="s">
        <v>59</v>
      </c>
      <c r="I12" s="316"/>
      <c r="J12" s="316"/>
      <c r="K12" s="316"/>
      <c r="L12" s="326" t="str">
        <f>IF(基本情報入力シート!L25="","",基本情報入力シート!L25)</f>
        <v/>
      </c>
      <c r="M12" s="326"/>
      <c r="N12" s="326"/>
      <c r="O12" s="326"/>
      <c r="P12" s="326"/>
      <c r="Q12" s="326"/>
      <c r="R12" s="326"/>
      <c r="S12" s="326"/>
      <c r="T12" s="326"/>
      <c r="U12" s="326"/>
      <c r="V12" s="342" t="s">
        <v>151</v>
      </c>
      <c r="W12" s="342"/>
      <c r="X12" s="342"/>
      <c r="Y12" s="342"/>
      <c r="Z12" s="326" t="str">
        <f>IF(基本情報入力シート!L26="","",基本情報入力シート!L26)</f>
        <v/>
      </c>
      <c r="AA12" s="326"/>
      <c r="AB12" s="326"/>
      <c r="AC12" s="326"/>
      <c r="AD12" s="326"/>
      <c r="AE12" s="326"/>
      <c r="AF12" s="326"/>
      <c r="AG12" s="326"/>
      <c r="AH12" s="326"/>
      <c r="AI12" s="326"/>
      <c r="AJ12" s="326"/>
      <c r="AK12" s="395"/>
      <c r="AL12" s="134"/>
      <c r="AM12" s="134"/>
      <c r="AN12" s="134"/>
      <c r="AO12" s="134"/>
      <c r="AP12" s="134"/>
      <c r="AQ12" s="134"/>
      <c r="AR12" s="134"/>
      <c r="AS12" s="134"/>
      <c r="AT12" s="134"/>
      <c r="AU12" s="134"/>
      <c r="AV12" s="134"/>
      <c r="AW12" s="134"/>
      <c r="AX12" s="134"/>
      <c r="AY12" s="134"/>
    </row>
    <row r="13" spans="1:51" ht="7.5" customHeight="1">
      <c r="A13" s="133"/>
      <c r="B13" s="135"/>
      <c r="C13" s="135"/>
      <c r="D13" s="135"/>
      <c r="E13" s="135"/>
      <c r="F13" s="135"/>
      <c r="G13" s="135"/>
      <c r="H13" s="135"/>
      <c r="I13" s="135"/>
      <c r="J13" s="135"/>
      <c r="K13" s="135"/>
      <c r="L13" s="135"/>
      <c r="M13" s="135"/>
      <c r="N13" s="135"/>
      <c r="O13" s="135"/>
      <c r="P13" s="135"/>
      <c r="Q13" s="135"/>
      <c r="R13" s="135"/>
      <c r="S13" s="135"/>
      <c r="T13" s="135"/>
      <c r="U13" s="135"/>
      <c r="V13" s="135"/>
      <c r="W13" s="135"/>
      <c r="X13" s="135"/>
      <c r="Y13" s="135"/>
      <c r="Z13" s="135"/>
      <c r="AA13" s="135"/>
      <c r="AB13" s="135"/>
      <c r="AC13" s="135"/>
      <c r="AD13" s="135"/>
      <c r="AE13" s="135"/>
      <c r="AF13" s="135"/>
      <c r="AG13" s="135"/>
      <c r="AH13" s="135"/>
      <c r="AI13" s="135"/>
      <c r="AJ13" s="135"/>
      <c r="AK13" s="135"/>
      <c r="AL13" s="133"/>
      <c r="AM13" s="133"/>
      <c r="AN13" s="133"/>
      <c r="AO13" s="133"/>
      <c r="AP13" s="133"/>
      <c r="AQ13" s="133"/>
      <c r="AR13" s="133"/>
      <c r="AS13" s="133"/>
      <c r="AT13" s="133"/>
      <c r="AU13" s="133"/>
      <c r="AV13" s="133"/>
      <c r="AW13" s="133"/>
      <c r="AX13" s="133"/>
      <c r="AY13" s="133"/>
    </row>
    <row r="14" spans="1:51" ht="21.6" customHeight="1">
      <c r="A14" s="133"/>
      <c r="B14" s="148" t="s">
        <v>156</v>
      </c>
      <c r="C14" s="211"/>
      <c r="D14" s="211"/>
      <c r="E14" s="211"/>
      <c r="F14" s="211"/>
      <c r="G14" s="211"/>
      <c r="H14" s="211"/>
      <c r="I14" s="211"/>
      <c r="J14" s="211"/>
      <c r="K14" s="211"/>
      <c r="L14" s="211"/>
      <c r="M14" s="211"/>
      <c r="N14" s="211"/>
      <c r="O14" s="211"/>
      <c r="P14" s="211"/>
      <c r="Q14" s="211"/>
      <c r="R14" s="211"/>
      <c r="S14" s="211"/>
      <c r="T14" s="211"/>
      <c r="U14" s="211"/>
      <c r="V14" s="211"/>
      <c r="W14" s="211"/>
      <c r="X14" s="211"/>
      <c r="Y14" s="211"/>
      <c r="Z14" s="211"/>
      <c r="AA14" s="211"/>
      <c r="AB14" s="211"/>
      <c r="AC14" s="211"/>
      <c r="AD14" s="211"/>
      <c r="AE14" s="211"/>
      <c r="AF14" s="211"/>
      <c r="AG14" s="211"/>
      <c r="AH14" s="211"/>
      <c r="AI14" s="211"/>
      <c r="AJ14" s="211"/>
      <c r="AK14" s="211"/>
      <c r="AL14" s="133"/>
      <c r="AM14" s="133"/>
      <c r="AN14" s="133"/>
      <c r="AO14" s="133"/>
      <c r="AP14" s="133"/>
      <c r="AQ14" s="133"/>
      <c r="AR14" s="133"/>
      <c r="AS14" s="133"/>
      <c r="AT14" s="133"/>
      <c r="AU14" s="133"/>
      <c r="AV14" s="133"/>
      <c r="AW14" s="133"/>
      <c r="AX14" s="133"/>
      <c r="AY14" s="133"/>
    </row>
    <row r="15" spans="1:51" ht="18.75" customHeight="1">
      <c r="B15" s="149" t="s">
        <v>200</v>
      </c>
      <c r="C15" s="149"/>
      <c r="D15" s="149"/>
      <c r="E15" s="149"/>
      <c r="F15" s="149"/>
      <c r="G15" s="149"/>
      <c r="H15" s="149"/>
      <c r="I15" s="149"/>
      <c r="J15" s="149"/>
      <c r="K15" s="149"/>
      <c r="L15" s="149"/>
      <c r="M15" s="149"/>
      <c r="N15" s="149"/>
      <c r="O15" s="149"/>
      <c r="P15" s="149"/>
      <c r="Q15" s="149"/>
      <c r="R15" s="149"/>
      <c r="S15" s="149"/>
      <c r="T15" s="149"/>
      <c r="U15" s="149"/>
      <c r="V15" s="149"/>
      <c r="W15" s="343"/>
      <c r="X15" s="135"/>
      <c r="Y15" s="135"/>
      <c r="Z15" s="135"/>
      <c r="AA15" s="135"/>
      <c r="AB15" s="135"/>
      <c r="AC15" s="135"/>
      <c r="AD15" s="135"/>
      <c r="AE15" s="135"/>
      <c r="AF15" s="135"/>
      <c r="AG15" s="135"/>
      <c r="AH15" s="135"/>
      <c r="AI15" s="135"/>
      <c r="AJ15" s="135"/>
      <c r="AK15" s="135"/>
      <c r="AL15" s="133"/>
      <c r="AM15" s="133"/>
      <c r="AN15" s="133"/>
      <c r="AO15" s="133"/>
      <c r="AP15" s="133"/>
      <c r="AQ15" s="133"/>
      <c r="AR15" s="133"/>
      <c r="AS15" s="133"/>
      <c r="AT15" s="133"/>
      <c r="AU15" s="133"/>
      <c r="AV15" s="133"/>
      <c r="AW15" s="133"/>
      <c r="AX15" s="133"/>
      <c r="AY15" s="133"/>
    </row>
    <row r="16" spans="1:51" ht="26.25" customHeight="1">
      <c r="A16" s="133"/>
      <c r="B16" s="150" t="s">
        <v>154</v>
      </c>
      <c r="C16" s="212" t="s">
        <v>53</v>
      </c>
      <c r="D16" s="212"/>
      <c r="E16" s="212"/>
      <c r="F16" s="212"/>
      <c r="G16" s="212"/>
      <c r="H16" s="212"/>
      <c r="I16" s="212"/>
      <c r="J16" s="212"/>
      <c r="K16" s="212"/>
      <c r="L16" s="212"/>
      <c r="M16" s="212"/>
      <c r="N16" s="212"/>
      <c r="O16" s="212"/>
      <c r="P16" s="212"/>
      <c r="Q16" s="331">
        <f>SUM('別紙様式2-2（個票（４、５月））'!L5:M5,'別紙様式2-3（個票（６月以降））'!K6)</f>
        <v>0</v>
      </c>
      <c r="R16" s="331"/>
      <c r="S16" s="331"/>
      <c r="T16" s="331"/>
      <c r="U16" s="331"/>
      <c r="V16" s="331"/>
      <c r="W16" s="344" t="s">
        <v>125</v>
      </c>
      <c r="X16" s="133"/>
      <c r="Y16" s="133"/>
      <c r="Z16" s="135"/>
      <c r="AA16" s="135"/>
      <c r="AB16" s="135"/>
      <c r="AC16" s="135"/>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row>
    <row r="17" spans="1:60" ht="38.450000000000003" customHeight="1">
      <c r="A17" s="133"/>
      <c r="B17" s="151" t="s">
        <v>52</v>
      </c>
      <c r="C17" s="213" t="s">
        <v>2</v>
      </c>
      <c r="D17" s="213"/>
      <c r="E17" s="213"/>
      <c r="F17" s="213"/>
      <c r="G17" s="213"/>
      <c r="H17" s="213"/>
      <c r="I17" s="213"/>
      <c r="J17" s="213"/>
      <c r="K17" s="213"/>
      <c r="L17" s="213"/>
      <c r="M17" s="213"/>
      <c r="N17" s="213"/>
      <c r="O17" s="213"/>
      <c r="P17" s="213"/>
      <c r="Q17" s="332"/>
      <c r="R17" s="332"/>
      <c r="S17" s="332"/>
      <c r="T17" s="332"/>
      <c r="U17" s="332"/>
      <c r="V17" s="332"/>
      <c r="W17" s="345" t="s">
        <v>125</v>
      </c>
      <c r="X17" s="135" t="s">
        <v>78</v>
      </c>
      <c r="Y17" s="349" t="str">
        <f>IF(H6="","",IF(Q17&gt;=Q16,"○","×"))</f>
        <v/>
      </c>
      <c r="Z17" s="135"/>
      <c r="AA17" s="354"/>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row>
    <row r="18" spans="1:60" ht="6" customHeight="1">
      <c r="A18" s="135"/>
      <c r="B18" s="133"/>
      <c r="C18" s="133"/>
      <c r="D18" s="133"/>
      <c r="E18" s="133"/>
      <c r="F18" s="133"/>
      <c r="G18" s="133"/>
      <c r="H18" s="133"/>
      <c r="I18" s="133"/>
      <c r="J18" s="133"/>
      <c r="K18" s="133"/>
      <c r="L18" s="133"/>
      <c r="M18" s="133"/>
      <c r="N18" s="133"/>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450"/>
      <c r="AV18" s="247"/>
      <c r="AW18" s="133"/>
      <c r="AX18" s="133"/>
      <c r="AY18" s="133"/>
    </row>
    <row r="19" spans="1:60" ht="16.5" customHeight="1">
      <c r="A19" s="5"/>
      <c r="B19" s="138" t="s">
        <v>202</v>
      </c>
      <c r="C19" s="133"/>
      <c r="D19" s="133"/>
      <c r="E19" s="133"/>
      <c r="F19" s="133"/>
      <c r="G19" s="133"/>
      <c r="H19" s="133"/>
      <c r="I19" s="133"/>
      <c r="J19" s="133"/>
      <c r="K19" s="133"/>
      <c r="L19" s="133"/>
      <c r="M19" s="133"/>
      <c r="N19" s="133"/>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row>
    <row r="20" spans="1:60" ht="25.15" customHeight="1">
      <c r="A20" s="133"/>
      <c r="B20" s="152" t="s">
        <v>206</v>
      </c>
      <c r="C20" s="168" t="s">
        <v>210</v>
      </c>
      <c r="D20" s="168"/>
      <c r="E20" s="168"/>
      <c r="F20" s="168"/>
      <c r="G20" s="168"/>
      <c r="H20" s="168"/>
      <c r="I20" s="168"/>
      <c r="J20" s="168"/>
      <c r="K20" s="168"/>
      <c r="L20" s="168"/>
      <c r="M20" s="168"/>
      <c r="N20" s="168"/>
      <c r="O20" s="168"/>
      <c r="P20" s="168"/>
      <c r="Q20" s="168"/>
      <c r="R20" s="168"/>
      <c r="S20" s="168"/>
      <c r="T20" s="168"/>
      <c r="U20" s="168"/>
      <c r="V20" s="168"/>
      <c r="W20" s="168"/>
      <c r="X20" s="168"/>
      <c r="Y20" s="168"/>
      <c r="Z20" s="168"/>
      <c r="AA20" s="168"/>
      <c r="AB20" s="168"/>
      <c r="AC20" s="168"/>
      <c r="AD20" s="168"/>
      <c r="AE20" s="168"/>
      <c r="AF20" s="168"/>
      <c r="AG20" s="168"/>
      <c r="AH20" s="168"/>
      <c r="AI20" s="168"/>
      <c r="AJ20" s="168"/>
      <c r="AK20" s="168"/>
      <c r="AL20" s="133"/>
      <c r="AM20" s="133"/>
      <c r="AN20" s="133"/>
      <c r="AO20" s="133"/>
      <c r="AP20" s="133"/>
      <c r="AQ20" s="133"/>
      <c r="AR20" s="133"/>
      <c r="AS20" s="133"/>
      <c r="AT20" s="133"/>
      <c r="AU20" s="133"/>
      <c r="AV20" s="133"/>
      <c r="AW20" s="133"/>
      <c r="AX20" s="133"/>
      <c r="AY20" s="133"/>
    </row>
    <row r="21" spans="1:60" ht="6" customHeight="1">
      <c r="A21" s="133"/>
      <c r="B21" s="153"/>
      <c r="C21" s="153"/>
      <c r="D21" s="153"/>
      <c r="E21" s="153"/>
      <c r="F21" s="288"/>
      <c r="G21" s="301"/>
      <c r="H21" s="301"/>
      <c r="I21" s="301"/>
      <c r="J21" s="301"/>
      <c r="K21" s="301"/>
      <c r="L21" s="301"/>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89"/>
      <c r="AK21" s="189"/>
      <c r="AL21" s="134"/>
      <c r="AM21" s="134"/>
      <c r="AN21" s="133"/>
      <c r="AO21" s="133"/>
      <c r="AP21" s="133"/>
      <c r="AQ21" s="133"/>
      <c r="AR21" s="133"/>
      <c r="AS21" s="133"/>
      <c r="AT21" s="133"/>
      <c r="AU21" s="133"/>
      <c r="AV21" s="133"/>
      <c r="AW21" s="421"/>
      <c r="AX21" s="133"/>
      <c r="AY21" s="133"/>
    </row>
    <row r="22" spans="1:60" ht="21" customHeight="1">
      <c r="A22" s="133"/>
      <c r="B22" s="154" t="s">
        <v>203</v>
      </c>
      <c r="C22" s="154"/>
      <c r="D22" s="154"/>
      <c r="E22" s="154"/>
      <c r="F22" s="154"/>
      <c r="G22" s="154"/>
      <c r="H22" s="154"/>
      <c r="I22" s="154"/>
      <c r="J22" s="154"/>
      <c r="K22" s="154"/>
      <c r="L22" s="154"/>
      <c r="M22" s="154"/>
      <c r="N22" s="154"/>
      <c r="O22" s="154"/>
      <c r="P22" s="154"/>
      <c r="Q22" s="154"/>
      <c r="R22" s="154"/>
      <c r="S22" s="154"/>
      <c r="T22" s="154"/>
      <c r="U22" s="154"/>
      <c r="V22" s="154"/>
      <c r="W22" s="154"/>
      <c r="X22" s="154"/>
      <c r="Y22" s="154"/>
      <c r="Z22" s="154"/>
      <c r="AA22" s="154"/>
      <c r="AB22" s="154"/>
      <c r="AC22" s="154"/>
      <c r="AD22" s="154"/>
      <c r="AE22" s="154"/>
      <c r="AF22" s="154"/>
      <c r="AG22" s="154"/>
      <c r="AH22" s="154"/>
      <c r="AI22" s="154"/>
      <c r="AJ22" s="154"/>
      <c r="AK22" s="154"/>
      <c r="AL22" s="133"/>
      <c r="AM22" s="133"/>
      <c r="AN22" s="133"/>
      <c r="AO22" s="133"/>
      <c r="AP22" s="133"/>
      <c r="AQ22" s="133"/>
      <c r="AR22" s="133"/>
      <c r="AS22" s="133"/>
      <c r="AT22" s="133"/>
      <c r="AU22" s="133"/>
      <c r="AV22" s="133"/>
      <c r="AW22" s="133"/>
      <c r="AX22" s="133"/>
      <c r="AY22" s="133"/>
    </row>
    <row r="23" spans="1:60" ht="19.149999999999999" customHeight="1">
      <c r="A23" s="133"/>
      <c r="B23" s="155" t="s">
        <v>213</v>
      </c>
      <c r="C23" s="155"/>
      <c r="D23" s="155"/>
      <c r="E23" s="155"/>
      <c r="F23" s="155"/>
      <c r="G23" s="155"/>
      <c r="H23" s="155"/>
      <c r="I23" s="155"/>
      <c r="J23" s="155"/>
      <c r="K23" s="155"/>
      <c r="L23" s="155"/>
      <c r="M23" s="155"/>
      <c r="N23" s="155"/>
      <c r="O23" s="155"/>
      <c r="P23" s="155"/>
      <c r="Q23" s="155"/>
      <c r="R23" s="155"/>
      <c r="S23" s="155"/>
      <c r="T23" s="155"/>
      <c r="U23" s="155"/>
      <c r="V23" s="155"/>
      <c r="W23" s="155"/>
      <c r="X23" s="155"/>
      <c r="Y23" s="155"/>
      <c r="Z23" s="155"/>
      <c r="AA23" s="155"/>
      <c r="AB23" s="155"/>
      <c r="AC23" s="155"/>
      <c r="AD23" s="155"/>
      <c r="AE23" s="155"/>
      <c r="AF23" s="155"/>
      <c r="AG23" s="155"/>
      <c r="AH23" s="155"/>
      <c r="AI23" s="155"/>
      <c r="AJ23" s="155"/>
      <c r="AK23" s="155"/>
      <c r="AL23" s="133"/>
      <c r="AM23" s="133"/>
      <c r="AN23" s="133"/>
      <c r="AO23" s="133"/>
      <c r="AP23" s="133"/>
      <c r="AQ23" s="133"/>
      <c r="AR23" s="133"/>
      <c r="AS23" s="421"/>
      <c r="AT23" s="133"/>
      <c r="AU23" s="133"/>
      <c r="AV23" s="133"/>
      <c r="AW23" s="133"/>
      <c r="AX23" s="133"/>
      <c r="AY23" s="133"/>
    </row>
    <row r="24" spans="1:60" ht="18" customHeight="1">
      <c r="A24" s="133"/>
      <c r="B24" s="156" t="s">
        <v>225</v>
      </c>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355"/>
      <c r="AB24" s="355"/>
      <c r="AC24" s="355"/>
      <c r="AD24" s="355"/>
      <c r="AE24" s="355"/>
      <c r="AF24" s="355"/>
      <c r="AG24" s="355"/>
      <c r="AH24" s="355"/>
      <c r="AI24" s="355"/>
      <c r="AJ24" s="374"/>
      <c r="AK24" s="396" t="str" cm="1">
        <f t="array" ref="AK24">IF(H6="","",IF(AND('別紙様式2-2（個票（４、５月））'!AC9:AC9="○",'別紙様式2-3（個票（６月以降））'!AC9:AC9="○"),"○","×"))</f>
        <v/>
      </c>
      <c r="AL24" s="421"/>
      <c r="AM24" s="133"/>
      <c r="AN24" s="133"/>
      <c r="AO24" s="133"/>
      <c r="AP24" s="133"/>
      <c r="AQ24" s="133"/>
      <c r="AR24" s="421"/>
      <c r="AS24" s="133"/>
      <c r="AT24" s="133"/>
      <c r="AU24" s="133"/>
      <c r="AV24" s="133"/>
      <c r="AW24" s="133"/>
      <c r="AX24" s="133"/>
    </row>
    <row r="25" spans="1:60" ht="18" customHeight="1">
      <c r="A25" s="133"/>
      <c r="B25" s="157" t="s">
        <v>154</v>
      </c>
      <c r="C25" s="212" t="s">
        <v>231</v>
      </c>
      <c r="D25" s="212"/>
      <c r="E25" s="212"/>
      <c r="F25" s="212"/>
      <c r="G25" s="212"/>
      <c r="H25" s="212"/>
      <c r="I25" s="212"/>
      <c r="J25" s="212"/>
      <c r="K25" s="212"/>
      <c r="L25" s="212"/>
      <c r="M25" s="212"/>
      <c r="N25" s="212"/>
      <c r="O25" s="212"/>
      <c r="P25" s="212"/>
      <c r="Q25" s="212"/>
      <c r="R25" s="212"/>
      <c r="S25" s="212"/>
      <c r="T25" s="339">
        <f>SUM('別紙様式2-2（個票（４、５月））'!L6:L6,'別紙様式2-3（個票（６月以降））'!K7)</f>
        <v>0</v>
      </c>
      <c r="U25" s="339"/>
      <c r="V25" s="339"/>
      <c r="W25" s="339"/>
      <c r="X25" s="339"/>
      <c r="Y25" s="339"/>
      <c r="Z25" s="352" t="s">
        <v>125</v>
      </c>
      <c r="AA25" s="336" t="s">
        <v>78</v>
      </c>
      <c r="AB25" s="356" t="str">
        <f>IF(H6="","",IFERROR(IF(T26&gt;=T25,"○","×"),""))</f>
        <v/>
      </c>
      <c r="AC25" s="358"/>
      <c r="AD25" s="359"/>
      <c r="AE25" s="359"/>
      <c r="AF25" s="359"/>
      <c r="AG25" s="359"/>
      <c r="AH25" s="359"/>
      <c r="AI25" s="359"/>
      <c r="AJ25" s="359"/>
      <c r="AK25" s="359"/>
      <c r="AL25" s="133"/>
      <c r="AM25" s="425" t="s">
        <v>232</v>
      </c>
      <c r="AN25" s="436"/>
      <c r="AO25" s="436"/>
      <c r="AP25" s="436"/>
      <c r="AQ25" s="436"/>
      <c r="AR25" s="436"/>
      <c r="AS25" s="436"/>
      <c r="AT25" s="436"/>
      <c r="AU25" s="436"/>
      <c r="AV25" s="436"/>
      <c r="AW25" s="436"/>
      <c r="AX25" s="436"/>
      <c r="AY25" s="454"/>
    </row>
    <row r="26" spans="1:60" ht="28.5" customHeight="1">
      <c r="A26" s="133"/>
      <c r="B26" s="157" t="s">
        <v>52</v>
      </c>
      <c r="C26" s="214" t="s">
        <v>233</v>
      </c>
      <c r="D26" s="214"/>
      <c r="E26" s="214"/>
      <c r="F26" s="214"/>
      <c r="G26" s="214"/>
      <c r="H26" s="214"/>
      <c r="I26" s="214"/>
      <c r="J26" s="214"/>
      <c r="K26" s="214"/>
      <c r="L26" s="214"/>
      <c r="M26" s="214"/>
      <c r="N26" s="214"/>
      <c r="O26" s="214"/>
      <c r="P26" s="214"/>
      <c r="Q26" s="214"/>
      <c r="R26" s="214"/>
      <c r="S26" s="214"/>
      <c r="T26" s="340">
        <v>0</v>
      </c>
      <c r="U26" s="340"/>
      <c r="V26" s="340"/>
      <c r="W26" s="340"/>
      <c r="X26" s="340"/>
      <c r="Y26" s="350"/>
      <c r="Z26" s="353" t="s">
        <v>125</v>
      </c>
      <c r="AA26" s="336" t="s">
        <v>78</v>
      </c>
      <c r="AB26" s="349"/>
      <c r="AC26" s="358"/>
      <c r="AD26" s="359"/>
      <c r="AE26" s="359"/>
      <c r="AF26" s="359"/>
      <c r="AG26" s="359"/>
      <c r="AH26" s="359"/>
      <c r="AI26" s="359"/>
      <c r="AJ26" s="359"/>
      <c r="AK26" s="359"/>
      <c r="AL26" s="133"/>
      <c r="AM26" s="426"/>
      <c r="AN26" s="435"/>
      <c r="AO26" s="435"/>
      <c r="AP26" s="435"/>
      <c r="AQ26" s="435"/>
      <c r="AR26" s="435"/>
      <c r="AS26" s="435"/>
      <c r="AT26" s="435"/>
      <c r="AU26" s="435"/>
      <c r="AV26" s="435"/>
      <c r="AW26" s="435"/>
      <c r="AX26" s="435"/>
      <c r="AY26" s="455"/>
    </row>
    <row r="27" spans="1:60" ht="3.75" customHeight="1">
      <c r="A27" s="133"/>
      <c r="B27" s="138"/>
      <c r="C27" s="174"/>
      <c r="D27" s="224"/>
      <c r="E27" s="224"/>
      <c r="F27" s="224"/>
      <c r="G27" s="224"/>
      <c r="H27" s="224"/>
      <c r="I27" s="224"/>
      <c r="J27" s="224"/>
      <c r="K27" s="224"/>
      <c r="L27" s="224"/>
      <c r="M27" s="224"/>
      <c r="N27" s="224"/>
      <c r="O27" s="224"/>
      <c r="P27" s="224"/>
      <c r="Q27" s="224"/>
      <c r="R27" s="224"/>
      <c r="S27" s="224"/>
      <c r="T27" s="224"/>
      <c r="U27" s="224"/>
      <c r="V27" s="224"/>
      <c r="W27" s="224"/>
      <c r="X27" s="224"/>
      <c r="Y27" s="224"/>
      <c r="Z27" s="224"/>
      <c r="AA27" s="224"/>
      <c r="AB27" s="224"/>
      <c r="AC27" s="224"/>
      <c r="AD27" s="224"/>
      <c r="AE27" s="224"/>
      <c r="AF27" s="224"/>
      <c r="AG27" s="224"/>
      <c r="AH27" s="224"/>
      <c r="AI27" s="224"/>
      <c r="AJ27" s="224"/>
      <c r="AK27" s="224"/>
      <c r="AL27" s="224"/>
      <c r="AM27" s="427"/>
      <c r="AN27" s="427"/>
      <c r="AO27" s="427"/>
      <c r="AP27" s="427"/>
      <c r="AQ27" s="133"/>
      <c r="AR27" s="133"/>
      <c r="AS27" s="133"/>
      <c r="AT27" s="133"/>
      <c r="AU27" s="133"/>
      <c r="AV27" s="133"/>
      <c r="AW27" s="133"/>
      <c r="AX27" s="421"/>
      <c r="AY27" s="133"/>
    </row>
    <row r="28" spans="1:60">
      <c r="A28" s="133"/>
      <c r="B28" s="138" t="s">
        <v>202</v>
      </c>
      <c r="C28" s="135"/>
      <c r="D28" s="135"/>
      <c r="E28" s="135"/>
      <c r="F28" s="135"/>
      <c r="G28" s="135"/>
      <c r="H28" s="135"/>
      <c r="I28" s="135"/>
      <c r="J28" s="135"/>
      <c r="K28" s="135"/>
      <c r="L28" s="135"/>
      <c r="M28" s="135"/>
      <c r="N28" s="135"/>
      <c r="O28" s="135"/>
      <c r="P28" s="135"/>
      <c r="Q28" s="135"/>
      <c r="R28" s="135"/>
      <c r="S28" s="135"/>
      <c r="T28" s="135"/>
      <c r="U28" s="135"/>
      <c r="V28" s="135"/>
      <c r="W28" s="135"/>
      <c r="X28" s="135"/>
      <c r="Y28" s="135"/>
      <c r="Z28" s="135"/>
      <c r="AA28" s="135"/>
      <c r="AB28" s="135"/>
      <c r="AC28" s="135"/>
      <c r="AD28" s="135"/>
      <c r="AE28" s="135"/>
      <c r="AF28" s="135"/>
      <c r="AG28" s="135"/>
      <c r="AH28" s="135"/>
      <c r="AI28" s="135"/>
      <c r="AJ28" s="135"/>
      <c r="AK28" s="135"/>
      <c r="AL28" s="160"/>
      <c r="AM28" s="427"/>
      <c r="AN28" s="427"/>
      <c r="AO28" s="427"/>
      <c r="AP28" s="427"/>
      <c r="AQ28" s="133"/>
      <c r="AR28" s="133"/>
      <c r="AS28" s="133"/>
      <c r="AT28" s="133"/>
      <c r="AU28" s="133"/>
      <c r="AV28" s="133"/>
      <c r="AW28" s="133"/>
      <c r="AX28" s="421"/>
      <c r="AY28" s="133"/>
    </row>
    <row r="29" spans="1:60" ht="13.9" customHeight="1">
      <c r="A29" s="133"/>
      <c r="B29" s="152" t="s">
        <v>206</v>
      </c>
      <c r="C29" s="215" t="s">
        <v>237</v>
      </c>
      <c r="D29" s="215"/>
      <c r="E29" s="215"/>
      <c r="F29" s="215"/>
      <c r="G29" s="215"/>
      <c r="H29" s="215"/>
      <c r="I29" s="215"/>
      <c r="J29" s="215"/>
      <c r="K29" s="215"/>
      <c r="L29" s="215"/>
      <c r="M29" s="215"/>
      <c r="N29" s="215"/>
      <c r="O29" s="215"/>
      <c r="P29" s="215"/>
      <c r="Q29" s="215"/>
      <c r="R29" s="215"/>
      <c r="S29" s="215"/>
      <c r="T29" s="215"/>
      <c r="U29" s="215"/>
      <c r="V29" s="215"/>
      <c r="W29" s="215"/>
      <c r="X29" s="215"/>
      <c r="Y29" s="215"/>
      <c r="Z29" s="215"/>
      <c r="AA29" s="215"/>
      <c r="AB29" s="215"/>
      <c r="AC29" s="215"/>
      <c r="AD29" s="215"/>
      <c r="AE29" s="215"/>
      <c r="AF29" s="215"/>
      <c r="AG29" s="215"/>
      <c r="AH29" s="215"/>
      <c r="AI29" s="215"/>
      <c r="AJ29" s="215"/>
      <c r="AK29" s="215"/>
      <c r="AL29" s="160"/>
      <c r="AM29" s="427"/>
      <c r="AN29" s="427"/>
      <c r="AO29" s="427"/>
      <c r="AP29" s="427"/>
      <c r="AQ29" s="133"/>
      <c r="AR29" s="133"/>
      <c r="AS29" s="133"/>
      <c r="AT29" s="133"/>
      <c r="AU29" s="133"/>
      <c r="AV29" s="133"/>
      <c r="AW29" s="133"/>
      <c r="AX29" s="421"/>
      <c r="AY29" s="133"/>
    </row>
    <row r="30" spans="1:60" ht="12.6" customHeight="1">
      <c r="A30" s="133"/>
      <c r="B30" s="133"/>
      <c r="C30" s="133"/>
      <c r="D30" s="133"/>
      <c r="E30" s="133"/>
      <c r="F30" s="133"/>
      <c r="G30" s="133"/>
      <c r="H30" s="133"/>
      <c r="I30" s="133"/>
      <c r="J30" s="133"/>
      <c r="K30" s="133"/>
      <c r="L30" s="133"/>
      <c r="M30" s="133"/>
      <c r="N30" s="133"/>
      <c r="O30" s="133"/>
      <c r="P30" s="133"/>
      <c r="Q30" s="133"/>
      <c r="R30" s="133"/>
      <c r="S30" s="133"/>
      <c r="T30" s="133"/>
      <c r="U30" s="133"/>
      <c r="V30" s="133"/>
      <c r="W30" s="133"/>
      <c r="X30" s="133"/>
      <c r="Y30" s="133"/>
      <c r="Z30" s="133"/>
      <c r="AA30" s="133"/>
      <c r="AB30" s="133"/>
      <c r="AC30" s="133"/>
      <c r="AD30" s="133"/>
      <c r="AE30" s="133"/>
      <c r="AF30" s="133"/>
      <c r="AG30" s="133"/>
      <c r="AH30" s="133"/>
      <c r="AI30" s="133"/>
      <c r="AJ30" s="288"/>
      <c r="AK30" s="288"/>
      <c r="AL30" s="288"/>
      <c r="AM30" s="133"/>
      <c r="AN30" s="133"/>
      <c r="AO30" s="133"/>
      <c r="AP30" s="133"/>
      <c r="AQ30" s="133"/>
      <c r="AR30" s="133"/>
      <c r="AS30" s="133"/>
      <c r="AT30" s="133"/>
      <c r="AU30" s="133"/>
      <c r="AV30" s="133"/>
      <c r="AW30" s="133"/>
      <c r="AX30" s="133"/>
      <c r="AY30" s="133"/>
      <c r="BA30" s="460" t="s">
        <v>239</v>
      </c>
      <c r="BB30" s="460"/>
      <c r="BC30" s="460"/>
      <c r="BD30" s="460"/>
      <c r="BE30" s="460" t="s">
        <v>241</v>
      </c>
      <c r="BF30" s="460"/>
      <c r="BG30" s="460"/>
      <c r="BH30" s="460"/>
    </row>
    <row r="31" spans="1:60" s="1" customFormat="1" ht="23.45" customHeight="1">
      <c r="A31" s="2"/>
      <c r="B31" s="8" t="s">
        <v>215</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2"/>
      <c r="AM31" s="428"/>
      <c r="AN31" s="428"/>
      <c r="AO31" s="428"/>
      <c r="AP31" s="428"/>
      <c r="AQ31" s="428"/>
      <c r="AR31" s="428"/>
      <c r="AS31" s="428"/>
      <c r="AT31" s="428"/>
      <c r="AU31" s="428"/>
      <c r="AV31" s="428"/>
      <c r="AW31" s="428"/>
      <c r="AX31" s="428"/>
      <c r="AY31" s="428"/>
      <c r="BA31" s="461" t="s">
        <v>245</v>
      </c>
      <c r="BB31" s="461"/>
      <c r="BC31" s="461"/>
      <c r="BD31" s="461"/>
      <c r="BE31" s="461" t="s">
        <v>247</v>
      </c>
      <c r="BF31" s="461"/>
      <c r="BG31" s="461"/>
      <c r="BH31" s="461"/>
    </row>
    <row r="32" spans="1:60" s="128" customFormat="1" ht="18" customHeight="1">
      <c r="A32" s="134"/>
      <c r="B32" s="156" t="s">
        <v>248</v>
      </c>
      <c r="C32" s="156"/>
      <c r="D32" s="156"/>
      <c r="E32" s="156"/>
      <c r="F32" s="156"/>
      <c r="G32" s="156"/>
      <c r="H32" s="156"/>
      <c r="I32" s="156"/>
      <c r="J32" s="156"/>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396" t="str">
        <f>IF(H6="","",IF(AND('別紙様式2-2（個票（４、５月））'!AE9="○",'別紙様式2-3（個票（６月以降））'!AE9="○",COUNTIF('別紙様式2-2（個票（４、５月））'!AE12:AE1048576,"*令和８年度特例要件を*")+COUNTIF('別紙様式2-3（個票（６月以降））'!AE12:AE1048576,"*令和８年度特例要件を*")=0),"○","×"))</f>
        <v/>
      </c>
      <c r="AL32" s="134"/>
      <c r="AM32" s="428"/>
      <c r="AN32" s="428"/>
      <c r="AO32" s="428"/>
      <c r="AP32" s="428"/>
      <c r="AQ32" s="428"/>
      <c r="AR32" s="428"/>
      <c r="AS32" s="428"/>
      <c r="AT32" s="428"/>
      <c r="AU32" s="428"/>
      <c r="AV32" s="428"/>
      <c r="AW32" s="428"/>
      <c r="AX32" s="428"/>
      <c r="AY32" s="428"/>
      <c r="BA32" s="462">
        <f>COUNTIF('別紙様式2-2（個票（４、５月））'!N:N,"処遇改善加算Ⅰ")+COUNTIF('別紙様式2-2（個票（４、５月））'!N:N,"処遇改善加算Ⅱ")+COUNTIF('別紙様式2-2（個票（４、５月））'!N:N,"処遇改善加算Ⅲ")+COUNTIF('別紙様式2-2（個票（４、５月））'!N:N,"処遇改善加算Ⅳ")</f>
        <v>0</v>
      </c>
      <c r="BB32" s="462"/>
      <c r="BC32" s="462"/>
      <c r="BD32" s="462"/>
      <c r="BE32" s="462">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462"/>
      <c r="BG32" s="462"/>
      <c r="BH32" s="462"/>
    </row>
    <row r="33" spans="1:60" s="128" customFormat="1" ht="33" customHeight="1">
      <c r="A33" s="134"/>
      <c r="B33" s="158" t="s">
        <v>252</v>
      </c>
      <c r="C33" s="156"/>
      <c r="D33" s="156"/>
      <c r="E33" s="156"/>
      <c r="F33" s="156"/>
      <c r="G33" s="156"/>
      <c r="H33" s="156"/>
      <c r="I33" s="156"/>
      <c r="J33" s="156"/>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397"/>
      <c r="AL33" s="134"/>
      <c r="AM33" s="428"/>
      <c r="AN33" s="428"/>
      <c r="AO33" s="428"/>
      <c r="AP33" s="428"/>
      <c r="AQ33" s="428"/>
      <c r="AR33" s="428"/>
      <c r="AS33" s="428"/>
      <c r="AT33" s="428"/>
      <c r="AU33" s="428"/>
      <c r="AV33" s="428"/>
      <c r="AW33" s="428"/>
      <c r="AX33" s="428"/>
      <c r="AY33" s="428"/>
      <c r="BA33" s="463"/>
      <c r="BB33" s="463"/>
      <c r="BC33" s="463"/>
      <c r="BD33" s="463"/>
      <c r="BE33" s="460"/>
      <c r="BF33" s="460"/>
      <c r="BG33" s="460"/>
      <c r="BH33" s="460"/>
    </row>
    <row r="34" spans="1:60" s="128" customFormat="1" ht="6" customHeight="1">
      <c r="A34" s="134"/>
      <c r="B34" s="159"/>
      <c r="C34" s="159"/>
      <c r="D34" s="159"/>
      <c r="E34" s="159"/>
      <c r="F34" s="159"/>
      <c r="G34" s="159"/>
      <c r="H34" s="159"/>
      <c r="I34" s="159"/>
      <c r="J34" s="159"/>
      <c r="K34" s="159"/>
      <c r="L34" s="159"/>
      <c r="M34" s="159"/>
      <c r="N34" s="159"/>
      <c r="O34" s="159"/>
      <c r="P34" s="159"/>
      <c r="Q34" s="159"/>
      <c r="R34" s="159"/>
      <c r="S34" s="159"/>
      <c r="T34" s="159"/>
      <c r="U34" s="159"/>
      <c r="V34" s="159"/>
      <c r="W34" s="159"/>
      <c r="X34" s="159"/>
      <c r="Y34" s="159"/>
      <c r="Z34" s="159"/>
      <c r="AA34" s="159"/>
      <c r="AB34" s="159"/>
      <c r="AC34" s="159"/>
      <c r="AD34" s="159"/>
      <c r="AE34" s="159"/>
      <c r="AF34" s="159"/>
      <c r="AG34" s="159"/>
      <c r="AH34" s="159"/>
      <c r="AI34" s="159"/>
      <c r="AJ34" s="159"/>
      <c r="AK34" s="159"/>
      <c r="AL34" s="134"/>
      <c r="AM34" s="429"/>
      <c r="AN34" s="429"/>
      <c r="AO34" s="429"/>
      <c r="AP34" s="429"/>
      <c r="AQ34" s="429"/>
      <c r="AR34" s="429"/>
      <c r="AS34" s="429"/>
      <c r="AT34" s="429"/>
      <c r="AU34" s="429"/>
      <c r="AV34" s="429"/>
      <c r="AW34" s="429"/>
      <c r="AX34" s="429"/>
      <c r="AY34" s="429"/>
      <c r="BA34" s="460" t="s">
        <v>239</v>
      </c>
      <c r="BB34" s="460"/>
      <c r="BC34" s="460"/>
      <c r="BD34" s="460"/>
      <c r="BE34" s="460" t="s">
        <v>241</v>
      </c>
      <c r="BF34" s="460"/>
      <c r="BG34" s="460"/>
      <c r="BH34" s="460"/>
    </row>
    <row r="35" spans="1:60" s="128" customFormat="1" ht="19.899999999999999" customHeight="1">
      <c r="A35" s="134"/>
      <c r="B35" s="8" t="s">
        <v>253</v>
      </c>
      <c r="C35" s="216"/>
      <c r="D35" s="216"/>
      <c r="E35" s="216"/>
      <c r="F35" s="216"/>
      <c r="G35" s="216"/>
      <c r="H35" s="216"/>
      <c r="I35" s="216"/>
      <c r="J35" s="216"/>
      <c r="K35" s="216"/>
      <c r="L35" s="216"/>
      <c r="M35" s="216"/>
      <c r="N35" s="216"/>
      <c r="O35" s="216"/>
      <c r="P35" s="216"/>
      <c r="Q35" s="216"/>
      <c r="R35" s="216"/>
      <c r="S35" s="216"/>
      <c r="T35" s="216"/>
      <c r="U35" s="216"/>
      <c r="V35" s="216"/>
      <c r="W35" s="216"/>
      <c r="X35" s="216"/>
      <c r="Y35" s="216"/>
      <c r="Z35" s="216"/>
      <c r="AA35" s="216"/>
      <c r="AB35" s="216"/>
      <c r="AC35" s="216"/>
      <c r="AD35" s="216"/>
      <c r="AE35" s="216"/>
      <c r="AF35" s="216"/>
      <c r="AG35" s="216"/>
      <c r="AH35" s="216"/>
      <c r="AI35" s="216"/>
      <c r="AJ35" s="216"/>
      <c r="AK35" s="216"/>
      <c r="AL35" s="134"/>
      <c r="AM35" s="428"/>
      <c r="AN35" s="428"/>
      <c r="AO35" s="428"/>
      <c r="AP35" s="428"/>
      <c r="AQ35" s="428"/>
      <c r="AR35" s="428"/>
      <c r="AS35" s="428"/>
      <c r="AT35" s="428"/>
      <c r="AU35" s="428"/>
      <c r="AV35" s="428"/>
      <c r="AW35" s="428"/>
      <c r="AX35" s="428"/>
      <c r="AY35" s="428"/>
      <c r="BA35" s="461" t="s">
        <v>254</v>
      </c>
      <c r="BB35" s="461"/>
      <c r="BC35" s="461"/>
      <c r="BD35" s="461"/>
      <c r="BE35" s="461" t="s">
        <v>254</v>
      </c>
      <c r="BF35" s="461"/>
      <c r="BG35" s="461"/>
      <c r="BH35" s="461"/>
    </row>
    <row r="36" spans="1:60" s="128" customFormat="1" ht="18" customHeight="1">
      <c r="A36" s="134"/>
      <c r="B36" s="158" t="s">
        <v>103</v>
      </c>
      <c r="C36" s="158"/>
      <c r="D36" s="158"/>
      <c r="E36" s="158"/>
      <c r="F36" s="158"/>
      <c r="G36" s="158"/>
      <c r="H36" s="158"/>
      <c r="I36" s="158"/>
      <c r="J36" s="158"/>
      <c r="K36" s="158"/>
      <c r="L36" s="158"/>
      <c r="M36" s="158"/>
      <c r="N36" s="158"/>
      <c r="O36" s="158"/>
      <c r="P36" s="158"/>
      <c r="Q36" s="158"/>
      <c r="R36" s="158"/>
      <c r="S36" s="158"/>
      <c r="T36" s="158"/>
      <c r="U36" s="158"/>
      <c r="V36" s="158"/>
      <c r="W36" s="158"/>
      <c r="X36" s="158"/>
      <c r="Y36" s="158"/>
      <c r="Z36" s="158"/>
      <c r="AA36" s="158"/>
      <c r="AB36" s="158"/>
      <c r="AC36" s="158"/>
      <c r="AD36" s="158"/>
      <c r="AE36" s="158"/>
      <c r="AF36" s="158"/>
      <c r="AG36" s="158"/>
      <c r="AH36" s="158"/>
      <c r="AI36" s="158"/>
      <c r="AJ36" s="158"/>
      <c r="AK36" s="396" t="str">
        <f>IF(H6="","",IF(AND('別紙様式2-2（個票（４、５月））'!AF9="○",'別紙様式2-3（個票（６月以降））'!AF9="○",COUNTIF('別紙様式2-2（個票（４、５月））'!AF12:AF1048576,"*令和８年度特例要件を*")+COUNTIF('別紙様式2-3（個票（６月以降））'!AF12:AF1048576,"*令和８年度特例要件を*")=0),"○","×"))</f>
        <v/>
      </c>
      <c r="AL36" s="134"/>
      <c r="AM36" s="428"/>
      <c r="AN36" s="428"/>
      <c r="AO36" s="428"/>
      <c r="AP36" s="428"/>
      <c r="AQ36" s="428"/>
      <c r="AR36" s="428"/>
      <c r="AS36" s="428"/>
      <c r="AT36" s="428"/>
      <c r="AU36" s="428"/>
      <c r="AV36" s="428"/>
      <c r="AW36" s="428"/>
      <c r="AX36" s="428"/>
      <c r="AY36" s="428"/>
      <c r="BA36" s="462">
        <f>COUNTIF('別紙様式2-2（個票（４、５月））'!N:N,"処遇改善加算Ⅰ")+COUNTIF('別紙様式2-2（個票（４、５月））'!N:N,"処遇改善加算Ⅱ")+COUNTIF('別紙様式2-2（個票（４、５月））'!N:N,"処遇改善加算Ⅲ")</f>
        <v>0</v>
      </c>
      <c r="BB36" s="462"/>
      <c r="BC36" s="462"/>
      <c r="BD36" s="462"/>
      <c r="BE36" s="462">
        <f>COUNTIF('別紙様式2-3（個票（６月以降））'!N:N,"*処遇改善加算Ⅰ*")+COUNTIF('別紙様式2-3（個票（６月以降））'!N:N,"*処遇改善加算Ⅱ*")+COUNTIF('別紙様式2-3（個票（６月以降））'!N:N,"処遇改善加算Ⅲ")</f>
        <v>0</v>
      </c>
      <c r="BF36" s="462"/>
      <c r="BG36" s="462"/>
      <c r="BH36" s="462"/>
    </row>
    <row r="37" spans="1:60" s="128" customFormat="1" ht="30.6" customHeight="1">
      <c r="A37" s="134"/>
      <c r="B37" s="158" t="s">
        <v>260</v>
      </c>
      <c r="C37" s="156"/>
      <c r="D37" s="156"/>
      <c r="E37" s="156"/>
      <c r="F37" s="156"/>
      <c r="G37" s="156"/>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397"/>
      <c r="AL37" s="134"/>
      <c r="AM37" s="428"/>
      <c r="AN37" s="428"/>
      <c r="AO37" s="428"/>
      <c r="AP37" s="428"/>
      <c r="AQ37" s="428"/>
      <c r="AR37" s="428"/>
      <c r="AS37" s="428"/>
      <c r="AT37" s="428"/>
      <c r="AU37" s="428"/>
      <c r="AV37" s="428"/>
      <c r="AW37" s="428"/>
      <c r="AX37" s="428"/>
      <c r="AY37" s="428"/>
      <c r="BA37" s="463"/>
      <c r="BB37" s="463"/>
      <c r="BC37" s="463"/>
      <c r="BD37" s="463"/>
      <c r="BE37" s="460"/>
      <c r="BF37" s="460"/>
      <c r="BG37" s="460"/>
      <c r="BH37" s="460"/>
    </row>
    <row r="38" spans="1:60" s="128" customFormat="1" ht="6" customHeight="1">
      <c r="A38" s="134"/>
      <c r="B38" s="160"/>
      <c r="C38" s="160"/>
      <c r="D38" s="160"/>
      <c r="E38" s="160"/>
      <c r="F38" s="160"/>
      <c r="G38" s="160"/>
      <c r="H38" s="160"/>
      <c r="I38" s="160"/>
      <c r="J38" s="160"/>
      <c r="K38" s="160"/>
      <c r="L38" s="160"/>
      <c r="M38" s="160"/>
      <c r="N38" s="160"/>
      <c r="O38" s="160"/>
      <c r="P38" s="160"/>
      <c r="Q38" s="160"/>
      <c r="R38" s="160"/>
      <c r="S38" s="160"/>
      <c r="T38" s="160"/>
      <c r="U38" s="160"/>
      <c r="V38" s="160"/>
      <c r="W38" s="160"/>
      <c r="X38" s="160"/>
      <c r="Y38" s="160"/>
      <c r="Z38" s="160"/>
      <c r="AA38" s="160"/>
      <c r="AB38" s="160"/>
      <c r="AC38" s="160"/>
      <c r="AD38" s="160"/>
      <c r="AE38" s="160"/>
      <c r="AF38" s="160"/>
      <c r="AG38" s="160"/>
      <c r="AH38" s="160"/>
      <c r="AI38" s="160"/>
      <c r="AJ38" s="160"/>
      <c r="AK38" s="160"/>
      <c r="AL38" s="134"/>
      <c r="AM38" s="430"/>
      <c r="AN38" s="134"/>
      <c r="AO38" s="134"/>
      <c r="AP38" s="134"/>
      <c r="AQ38" s="134"/>
      <c r="AR38" s="134"/>
      <c r="AS38" s="134"/>
      <c r="AT38" s="134"/>
      <c r="AU38" s="134"/>
      <c r="AV38" s="134"/>
      <c r="AW38" s="134"/>
      <c r="AX38" s="134"/>
      <c r="AY38" s="134"/>
      <c r="BA38" s="460" t="s">
        <v>239</v>
      </c>
      <c r="BB38" s="460"/>
      <c r="BC38" s="460"/>
      <c r="BD38" s="460"/>
      <c r="BE38" s="460" t="s">
        <v>241</v>
      </c>
      <c r="BF38" s="460"/>
      <c r="BG38" s="460"/>
      <c r="BH38" s="460"/>
    </row>
    <row r="39" spans="1:60" s="128" customFormat="1" ht="23.45" customHeight="1">
      <c r="A39" s="134"/>
      <c r="B39" s="161" t="s">
        <v>262</v>
      </c>
      <c r="C39" s="217"/>
      <c r="D39" s="217"/>
      <c r="E39" s="217"/>
      <c r="F39" s="217"/>
      <c r="G39" s="217"/>
      <c r="H39" s="217"/>
      <c r="I39" s="217"/>
      <c r="J39" s="217"/>
      <c r="K39" s="217"/>
      <c r="L39" s="217"/>
      <c r="M39" s="217"/>
      <c r="N39" s="217"/>
      <c r="O39" s="217"/>
      <c r="P39" s="217"/>
      <c r="Q39" s="217"/>
      <c r="R39" s="217"/>
      <c r="S39" s="217"/>
      <c r="T39" s="217"/>
      <c r="U39" s="217"/>
      <c r="V39" s="217"/>
      <c r="W39" s="217"/>
      <c r="X39" s="217"/>
      <c r="Y39" s="217"/>
      <c r="Z39" s="217"/>
      <c r="AA39" s="217"/>
      <c r="AB39" s="217"/>
      <c r="AC39" s="217"/>
      <c r="AD39" s="217"/>
      <c r="AE39" s="217"/>
      <c r="AF39" s="217"/>
      <c r="AG39" s="217"/>
      <c r="AH39" s="217"/>
      <c r="AI39" s="217"/>
      <c r="AJ39" s="217"/>
      <c r="AK39" s="217"/>
      <c r="AL39" s="134"/>
      <c r="AM39" s="134"/>
      <c r="AN39" s="134"/>
      <c r="AO39" s="134"/>
      <c r="AP39" s="134"/>
      <c r="AQ39" s="134"/>
      <c r="AR39" s="134"/>
      <c r="AS39" s="134"/>
      <c r="AT39" s="134"/>
      <c r="AU39" s="134"/>
      <c r="AV39" s="134"/>
      <c r="AW39" s="134"/>
      <c r="AX39" s="134"/>
      <c r="AY39" s="134"/>
      <c r="BA39" s="462" t="s">
        <v>267</v>
      </c>
      <c r="BB39" s="462"/>
      <c r="BC39" s="462"/>
      <c r="BD39" s="462"/>
      <c r="BE39" s="462" t="s">
        <v>267</v>
      </c>
      <c r="BF39" s="462"/>
      <c r="BG39" s="462"/>
      <c r="BH39" s="462"/>
    </row>
    <row r="40" spans="1:60" ht="18" customHeight="1">
      <c r="A40" s="133"/>
      <c r="B40" s="162" t="s">
        <v>268</v>
      </c>
      <c r="C40" s="162"/>
      <c r="D40" s="162"/>
      <c r="E40" s="162"/>
      <c r="F40" s="162"/>
      <c r="G40" s="162"/>
      <c r="H40" s="162"/>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c r="AH40" s="162"/>
      <c r="AI40" s="162"/>
      <c r="AJ40" s="162"/>
      <c r="AK40" s="396"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33"/>
      <c r="AM40" s="133"/>
      <c r="AN40" s="133"/>
      <c r="AO40" s="133"/>
      <c r="AP40" s="133"/>
      <c r="AQ40" s="133"/>
      <c r="AR40" s="133"/>
      <c r="AS40" s="133"/>
      <c r="AT40" s="133"/>
      <c r="AU40" s="133"/>
      <c r="AV40" s="133"/>
      <c r="AW40" s="133"/>
      <c r="AX40" s="421"/>
      <c r="AY40" s="133"/>
      <c r="BA40" s="461">
        <f>COUNTIF('別紙様式2-2（個票（４、５月））'!N:N,"処遇改善加算Ⅰ")+COUNTIF('別紙様式2-2（個票（４、５月））'!N:N,"処遇改善加算Ⅱ")</f>
        <v>0</v>
      </c>
      <c r="BB40" s="461"/>
      <c r="BC40" s="461"/>
      <c r="BD40" s="461"/>
      <c r="BE40" s="462">
        <f>COUNTIF('別紙様式2-3（個票（６月以降））'!N:N,"*処遇改善加算Ⅰ*")+COUNTIF('別紙様式2-3（個票（６月以降））'!N:N,"*処遇改善加算Ⅱ*")</f>
        <v>0</v>
      </c>
      <c r="BF40" s="462"/>
      <c r="BG40" s="462"/>
      <c r="BH40" s="462"/>
    </row>
    <row r="41" spans="1:60" ht="30.6" customHeight="1">
      <c r="A41" s="133"/>
      <c r="B41" s="158" t="s">
        <v>270</v>
      </c>
      <c r="C41" s="156"/>
      <c r="D41" s="156"/>
      <c r="E41" s="156"/>
      <c r="F41" s="156"/>
      <c r="G41" s="156"/>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397"/>
      <c r="AL41" s="133"/>
      <c r="AM41" s="133"/>
      <c r="AN41" s="133"/>
      <c r="AO41" s="133"/>
      <c r="AP41" s="133"/>
      <c r="AQ41" s="133"/>
      <c r="AR41" s="133"/>
      <c r="AS41" s="133"/>
      <c r="AT41" s="133"/>
      <c r="AU41" s="133"/>
      <c r="AV41" s="133"/>
      <c r="AW41" s="133"/>
      <c r="AX41" s="421"/>
      <c r="AY41" s="133"/>
      <c r="BA41" s="464"/>
      <c r="BB41" s="464"/>
      <c r="BC41" s="464"/>
      <c r="BD41" s="464"/>
    </row>
    <row r="42" spans="1:60" ht="6" customHeight="1">
      <c r="A42" s="133"/>
      <c r="B42" s="163"/>
      <c r="C42" s="133"/>
      <c r="D42" s="215"/>
      <c r="E42" s="215"/>
      <c r="F42" s="215"/>
      <c r="G42" s="215"/>
      <c r="H42" s="215"/>
      <c r="I42" s="215"/>
      <c r="J42" s="215"/>
      <c r="K42" s="215"/>
      <c r="L42" s="215"/>
      <c r="M42" s="215"/>
      <c r="N42" s="215"/>
      <c r="O42" s="215"/>
      <c r="P42" s="215"/>
      <c r="Q42" s="215"/>
      <c r="R42" s="215"/>
      <c r="S42" s="215"/>
      <c r="T42" s="215"/>
      <c r="U42" s="215"/>
      <c r="V42" s="215"/>
      <c r="W42" s="215"/>
      <c r="X42" s="215"/>
      <c r="Y42" s="215"/>
      <c r="Z42" s="215"/>
      <c r="AA42" s="215"/>
      <c r="AB42" s="215"/>
      <c r="AC42" s="215"/>
      <c r="AD42" s="215"/>
      <c r="AE42" s="215"/>
      <c r="AF42" s="215"/>
      <c r="AG42" s="215"/>
      <c r="AH42" s="215"/>
      <c r="AI42" s="215"/>
      <c r="AJ42" s="215"/>
      <c r="AK42" s="133"/>
      <c r="AL42" s="133"/>
      <c r="AM42" s="133"/>
      <c r="AN42" s="133"/>
      <c r="AO42" s="133"/>
      <c r="AP42" s="133"/>
      <c r="AQ42" s="133"/>
      <c r="AR42" s="133"/>
      <c r="AS42" s="133"/>
      <c r="AT42" s="133"/>
      <c r="AU42" s="133"/>
      <c r="AV42" s="133"/>
      <c r="AW42" s="421"/>
      <c r="AX42" s="133"/>
      <c r="AY42" s="133"/>
      <c r="BA42" s="465"/>
      <c r="BB42" s="465"/>
      <c r="BC42" s="465"/>
    </row>
    <row r="43" spans="1:60" ht="17.45" customHeight="1">
      <c r="A43" s="133"/>
      <c r="B43" s="164" t="s">
        <v>33</v>
      </c>
      <c r="D43" s="257"/>
      <c r="E43" s="257"/>
      <c r="F43" s="257"/>
      <c r="G43" s="257"/>
      <c r="H43" s="257"/>
      <c r="I43" s="257"/>
      <c r="J43" s="257"/>
      <c r="K43" s="257"/>
      <c r="L43" s="257"/>
      <c r="M43" s="257"/>
      <c r="N43" s="257"/>
      <c r="O43" s="257"/>
      <c r="P43" s="257"/>
      <c r="Q43" s="215"/>
      <c r="R43" s="257"/>
      <c r="S43" s="215"/>
      <c r="T43" s="215"/>
      <c r="U43" s="215"/>
      <c r="V43" s="215"/>
      <c r="W43" s="215"/>
      <c r="X43" s="215"/>
      <c r="Y43" s="215"/>
      <c r="Z43" s="215"/>
      <c r="AA43" s="215"/>
      <c r="AB43" s="215"/>
      <c r="AC43" s="215"/>
      <c r="AD43" s="215"/>
      <c r="AE43" s="215"/>
      <c r="AF43" s="215"/>
      <c r="AG43" s="215"/>
      <c r="AH43" s="215"/>
      <c r="AI43" s="215"/>
      <c r="AJ43" s="215"/>
      <c r="AK43" s="349" t="str">
        <f>IF(H6="","",IF(AK40="○","",IF(OR(BA45=TRUE,BA46=TRUE,BA47=TRUE,AND(BA48=TRUE,G48&lt;&gt;"")),"○","×")))</f>
        <v/>
      </c>
      <c r="AL43" s="133"/>
      <c r="AM43" s="431"/>
      <c r="AN43" s="133"/>
      <c r="AO43" s="133"/>
      <c r="AP43" s="133"/>
      <c r="AQ43" s="133"/>
      <c r="AR43" s="133"/>
      <c r="AS43" s="133"/>
      <c r="AT43" s="133"/>
      <c r="AU43" s="133"/>
      <c r="AV43" s="133"/>
      <c r="AW43" s="133"/>
      <c r="AX43" s="421"/>
      <c r="AY43" s="133"/>
      <c r="BA43" s="465"/>
      <c r="BB43" s="465"/>
      <c r="BC43" s="465"/>
    </row>
    <row r="44" spans="1:60" ht="15.6" customHeight="1">
      <c r="A44" s="134"/>
      <c r="B44" s="165" t="s">
        <v>273</v>
      </c>
      <c r="C44" s="218"/>
      <c r="D44" s="258"/>
      <c r="E44" s="274"/>
      <c r="F44" s="289"/>
      <c r="G44" s="289"/>
      <c r="H44" s="289"/>
      <c r="I44" s="289"/>
      <c r="J44" s="289"/>
      <c r="K44" s="289"/>
      <c r="L44" s="289"/>
      <c r="M44" s="289"/>
      <c r="N44" s="289"/>
      <c r="O44" s="289"/>
      <c r="P44" s="289"/>
      <c r="Q44" s="289"/>
      <c r="R44" s="289"/>
      <c r="S44" s="289"/>
      <c r="T44" s="289"/>
      <c r="U44" s="289"/>
      <c r="V44" s="289"/>
      <c r="W44" s="289"/>
      <c r="X44" s="289"/>
      <c r="Y44" s="289"/>
      <c r="Z44" s="289"/>
      <c r="AA44" s="289"/>
      <c r="AB44" s="289"/>
      <c r="AC44" s="289"/>
      <c r="AD44" s="289"/>
      <c r="AE44" s="289"/>
      <c r="AF44" s="289"/>
      <c r="AG44" s="289"/>
      <c r="AH44" s="289"/>
      <c r="AI44" s="289"/>
      <c r="AJ44" s="289"/>
      <c r="AK44" s="398"/>
      <c r="AL44" s="134"/>
      <c r="AM44" s="432" t="s">
        <v>199</v>
      </c>
      <c r="AN44" s="432"/>
      <c r="AO44" s="432"/>
      <c r="AP44" s="432"/>
      <c r="AQ44" s="432"/>
      <c r="AR44" s="432"/>
      <c r="AS44" s="432"/>
      <c r="AT44" s="432"/>
      <c r="AU44" s="432"/>
      <c r="AV44" s="432"/>
      <c r="AW44" s="432"/>
      <c r="AX44" s="432"/>
      <c r="AY44" s="432"/>
      <c r="BA44" s="465"/>
      <c r="BB44" s="465"/>
      <c r="BC44" s="465"/>
    </row>
    <row r="45" spans="1:60" s="128" customFormat="1" ht="19.899999999999999" customHeight="1">
      <c r="A45" s="134"/>
      <c r="B45" s="166"/>
      <c r="C45" s="219"/>
      <c r="D45" s="259" t="s">
        <v>280</v>
      </c>
      <c r="E45" s="275"/>
      <c r="F45" s="275"/>
      <c r="G45" s="275"/>
      <c r="H45" s="275"/>
      <c r="I45" s="275"/>
      <c r="J45" s="275"/>
      <c r="K45" s="275"/>
      <c r="L45" s="275"/>
      <c r="M45" s="275"/>
      <c r="N45" s="275"/>
      <c r="O45" s="275"/>
      <c r="P45" s="275"/>
      <c r="Q45" s="275"/>
      <c r="R45" s="275"/>
      <c r="S45" s="336"/>
      <c r="T45" s="336"/>
      <c r="U45" s="336"/>
      <c r="V45" s="336"/>
      <c r="W45" s="336"/>
      <c r="X45" s="336"/>
      <c r="Y45" s="336"/>
      <c r="Z45" s="336"/>
      <c r="AA45" s="336"/>
      <c r="AB45" s="336"/>
      <c r="AC45" s="336"/>
      <c r="AD45" s="336"/>
      <c r="AE45" s="336"/>
      <c r="AF45" s="336"/>
      <c r="AG45" s="336"/>
      <c r="AH45" s="336"/>
      <c r="AI45" s="301"/>
      <c r="AJ45" s="134"/>
      <c r="AK45" s="399"/>
      <c r="AL45" s="134"/>
      <c r="AM45" s="134"/>
      <c r="AN45" s="422"/>
      <c r="AO45" s="422"/>
      <c r="AP45" s="422"/>
      <c r="AQ45" s="422"/>
      <c r="AR45" s="422"/>
      <c r="AS45" s="422"/>
      <c r="AT45" s="422"/>
      <c r="AU45" s="422"/>
      <c r="AV45" s="451"/>
      <c r="AW45" s="453"/>
      <c r="AX45" s="134"/>
      <c r="AY45" s="134"/>
      <c r="BA45" s="466" t="b">
        <v>0</v>
      </c>
      <c r="BB45" s="465"/>
      <c r="BC45" s="465"/>
    </row>
    <row r="46" spans="1:60" s="128" customFormat="1" ht="19.899999999999999" customHeight="1">
      <c r="A46" s="134"/>
      <c r="B46" s="166"/>
      <c r="C46" s="220"/>
      <c r="D46" s="224" t="s">
        <v>281</v>
      </c>
      <c r="E46" s="276"/>
      <c r="F46" s="276"/>
      <c r="G46" s="276"/>
      <c r="H46" s="276"/>
      <c r="I46" s="276"/>
      <c r="J46" s="276"/>
      <c r="K46" s="276"/>
      <c r="L46" s="276"/>
      <c r="M46" s="276"/>
      <c r="N46" s="276"/>
      <c r="O46" s="276"/>
      <c r="P46" s="276"/>
      <c r="Q46" s="276"/>
      <c r="R46" s="276"/>
      <c r="S46" s="276"/>
      <c r="T46" s="336"/>
      <c r="U46" s="336"/>
      <c r="V46" s="336"/>
      <c r="W46" s="336"/>
      <c r="X46" s="336"/>
      <c r="Y46" s="336"/>
      <c r="Z46" s="336"/>
      <c r="AA46" s="336"/>
      <c r="AB46" s="336"/>
      <c r="AC46" s="336"/>
      <c r="AD46" s="336"/>
      <c r="AE46" s="336"/>
      <c r="AF46" s="336"/>
      <c r="AG46" s="336"/>
      <c r="AH46" s="336"/>
      <c r="AI46" s="301"/>
      <c r="AJ46" s="134"/>
      <c r="AK46" s="399"/>
      <c r="AL46" s="134"/>
      <c r="AM46" s="134"/>
      <c r="AN46" s="422"/>
      <c r="AO46" s="422"/>
      <c r="AP46" s="422"/>
      <c r="AQ46" s="422"/>
      <c r="AR46" s="422"/>
      <c r="AS46" s="422"/>
      <c r="AT46" s="422"/>
      <c r="AU46" s="451"/>
      <c r="AV46" s="453"/>
      <c r="AW46" s="134"/>
      <c r="AX46" s="134"/>
      <c r="AY46" s="134"/>
      <c r="BA46" s="466" t="b">
        <v>0</v>
      </c>
      <c r="BB46" s="465"/>
      <c r="BC46" s="465"/>
    </row>
    <row r="47" spans="1:60" s="128" customFormat="1" ht="19.899999999999999" customHeight="1">
      <c r="A47" s="134"/>
      <c r="B47" s="166"/>
      <c r="C47" s="220"/>
      <c r="D47" s="160" t="s">
        <v>285</v>
      </c>
      <c r="E47" s="160"/>
      <c r="F47" s="160"/>
      <c r="G47" s="160"/>
      <c r="H47" s="160"/>
      <c r="I47" s="160"/>
      <c r="J47" s="160"/>
      <c r="K47" s="160"/>
      <c r="L47" s="160"/>
      <c r="M47" s="160"/>
      <c r="N47" s="160"/>
      <c r="O47" s="160"/>
      <c r="P47" s="160"/>
      <c r="Q47" s="160"/>
      <c r="R47" s="160"/>
      <c r="S47" s="160"/>
      <c r="T47" s="160"/>
      <c r="U47" s="160"/>
      <c r="V47" s="160"/>
      <c r="W47" s="160"/>
      <c r="X47" s="160"/>
      <c r="Y47" s="160"/>
      <c r="Z47" s="160"/>
      <c r="AA47" s="160"/>
      <c r="AB47" s="160"/>
      <c r="AC47" s="160"/>
      <c r="AD47" s="160"/>
      <c r="AE47" s="160"/>
      <c r="AF47" s="160"/>
      <c r="AG47" s="160"/>
      <c r="AH47" s="160"/>
      <c r="AI47" s="160"/>
      <c r="AJ47" s="134"/>
      <c r="AK47" s="399"/>
      <c r="AL47" s="422"/>
      <c r="AM47" s="134"/>
      <c r="AN47" s="422"/>
      <c r="AO47" s="422"/>
      <c r="AP47" s="422"/>
      <c r="AQ47" s="422"/>
      <c r="AR47" s="422"/>
      <c r="AS47" s="422"/>
      <c r="AT47" s="422"/>
      <c r="AU47" s="451"/>
      <c r="AV47" s="453"/>
      <c r="AW47" s="134"/>
      <c r="AX47" s="134"/>
      <c r="AY47" s="134"/>
      <c r="BA47" s="466" t="b">
        <v>0</v>
      </c>
      <c r="BB47" s="465"/>
      <c r="BC47" s="465"/>
    </row>
    <row r="48" spans="1:60" s="128" customFormat="1" ht="19.899999999999999" customHeight="1">
      <c r="A48" s="134"/>
      <c r="B48" s="167"/>
      <c r="C48" s="221"/>
      <c r="D48" s="260" t="s">
        <v>290</v>
      </c>
      <c r="E48" s="277"/>
      <c r="F48" s="290"/>
      <c r="G48" s="302"/>
      <c r="H48" s="302"/>
      <c r="I48" s="302"/>
      <c r="J48" s="302"/>
      <c r="K48" s="302"/>
      <c r="L48" s="302"/>
      <c r="M48" s="302"/>
      <c r="N48" s="302"/>
      <c r="O48" s="302"/>
      <c r="P48" s="302"/>
      <c r="Q48" s="302"/>
      <c r="R48" s="302"/>
      <c r="S48" s="302"/>
      <c r="T48" s="302"/>
      <c r="U48" s="302"/>
      <c r="V48" s="302"/>
      <c r="W48" s="302"/>
      <c r="X48" s="302"/>
      <c r="Y48" s="302"/>
      <c r="Z48" s="302"/>
      <c r="AA48" s="302"/>
      <c r="AB48" s="302"/>
      <c r="AC48" s="302"/>
      <c r="AD48" s="302"/>
      <c r="AE48" s="302"/>
      <c r="AF48" s="302"/>
      <c r="AG48" s="302"/>
      <c r="AH48" s="302"/>
      <c r="AI48" s="302"/>
      <c r="AJ48" s="302"/>
      <c r="AK48" s="400" t="s">
        <v>187</v>
      </c>
      <c r="AL48" s="134"/>
      <c r="AM48" s="433" t="s">
        <v>293</v>
      </c>
      <c r="AN48" s="433"/>
      <c r="AO48" s="433"/>
      <c r="AP48" s="433"/>
      <c r="AQ48" s="433"/>
      <c r="AR48" s="433"/>
      <c r="AS48" s="433"/>
      <c r="AT48" s="433"/>
      <c r="AU48" s="433"/>
      <c r="AV48" s="433"/>
      <c r="AW48" s="433"/>
      <c r="AX48" s="433"/>
      <c r="AY48" s="433"/>
      <c r="AZ48" s="458"/>
      <c r="BA48" s="466" t="b">
        <v>0</v>
      </c>
      <c r="BB48" s="465"/>
      <c r="BC48" s="465"/>
    </row>
    <row r="49" spans="1:60" s="128" customFormat="1" ht="4.9000000000000004" customHeight="1">
      <c r="A49" s="133"/>
      <c r="B49" s="168"/>
      <c r="C49" s="222"/>
      <c r="D49" s="222"/>
      <c r="E49" s="222"/>
      <c r="F49" s="222"/>
      <c r="G49" s="222"/>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133"/>
      <c r="AM49" s="134"/>
      <c r="AN49" s="134"/>
      <c r="AO49" s="134"/>
      <c r="AP49" s="134"/>
      <c r="AQ49" s="134"/>
      <c r="AR49" s="134"/>
      <c r="AS49" s="134"/>
      <c r="AT49" s="134"/>
      <c r="AU49" s="134"/>
      <c r="AV49" s="134"/>
      <c r="AW49" s="134"/>
      <c r="AX49" s="134"/>
      <c r="AY49" s="134"/>
      <c r="BA49" s="465"/>
      <c r="BB49" s="465"/>
      <c r="BC49" s="465"/>
    </row>
    <row r="50" spans="1:60" ht="23.45" customHeight="1">
      <c r="A50" s="133"/>
      <c r="B50" s="161" t="s">
        <v>296</v>
      </c>
      <c r="C50" s="217"/>
      <c r="D50" s="217"/>
      <c r="E50" s="217"/>
      <c r="F50" s="217"/>
      <c r="G50" s="217"/>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133"/>
      <c r="AM50" s="133"/>
      <c r="AN50" s="133"/>
      <c r="AO50" s="133"/>
      <c r="AP50" s="133"/>
      <c r="AQ50" s="133"/>
      <c r="AR50" s="133"/>
      <c r="AS50" s="133"/>
      <c r="AT50" s="133"/>
      <c r="AU50" s="133"/>
      <c r="AV50" s="133"/>
      <c r="AW50" s="133"/>
      <c r="AX50" s="133"/>
      <c r="AY50" s="133"/>
      <c r="AZ50" s="128"/>
      <c r="BA50" s="467" t="s">
        <v>298</v>
      </c>
      <c r="BB50" s="467"/>
      <c r="BC50" s="467"/>
      <c r="BD50" s="467"/>
      <c r="BE50" s="467" t="s">
        <v>298</v>
      </c>
      <c r="BF50" s="467"/>
      <c r="BG50" s="467"/>
      <c r="BH50" s="467"/>
    </row>
    <row r="51" spans="1:60" ht="18" customHeight="1">
      <c r="A51" s="133"/>
      <c r="B51" s="169" t="s">
        <v>305</v>
      </c>
      <c r="C51" s="169"/>
      <c r="D51" s="169"/>
      <c r="E51" s="169"/>
      <c r="F51" s="169"/>
      <c r="G51" s="169"/>
      <c r="H51" s="169"/>
      <c r="I51" s="169"/>
      <c r="J51" s="169"/>
      <c r="K51" s="169"/>
      <c r="L51" s="169"/>
      <c r="M51" s="169"/>
      <c r="N51" s="169"/>
      <c r="O51" s="169"/>
      <c r="P51" s="169"/>
      <c r="Q51" s="169"/>
      <c r="R51" s="169"/>
      <c r="S51" s="169"/>
      <c r="T51" s="169"/>
      <c r="U51" s="169"/>
      <c r="V51" s="169"/>
      <c r="W51" s="169"/>
      <c r="X51" s="169"/>
      <c r="Y51" s="169"/>
      <c r="Z51" s="169"/>
      <c r="AA51" s="169"/>
      <c r="AB51" s="169"/>
      <c r="AC51" s="169"/>
      <c r="AD51" s="169"/>
      <c r="AE51" s="169"/>
      <c r="AF51" s="169"/>
      <c r="AG51" s="169"/>
      <c r="AH51" s="169"/>
      <c r="AI51" s="169"/>
      <c r="AJ51" s="169"/>
      <c r="AK51" s="401" t="str">
        <f>IF(H6="","",IF(AND('別紙様式2-2（個票（４、５月））'!AI9="○",'別紙様式2-3（個票（６月以降））'!AI9="○"),"○","×"))</f>
        <v/>
      </c>
      <c r="AL51" s="133"/>
      <c r="AM51" s="133"/>
      <c r="AN51" s="133"/>
      <c r="AO51" s="133"/>
      <c r="AP51" s="133"/>
      <c r="AQ51" s="133"/>
      <c r="AR51" s="133"/>
      <c r="AS51" s="133"/>
      <c r="AT51" s="133"/>
      <c r="AU51" s="133"/>
      <c r="AV51" s="133"/>
      <c r="AW51" s="133"/>
      <c r="AX51" s="133"/>
      <c r="AY51" s="133"/>
      <c r="BA51" s="468">
        <f>COUNTIF('別紙様式2-2（個票（４、５月））'!N:N,"処遇改善加算Ⅰ")</f>
        <v>0</v>
      </c>
      <c r="BB51" s="468"/>
      <c r="BC51" s="468"/>
      <c r="BD51" s="468"/>
      <c r="BE51" s="468">
        <f>COUNTIF('別紙様式2-3（個票（６月以降））'!N:N,"*処遇改善加算Ⅰ*")</f>
        <v>0</v>
      </c>
      <c r="BF51" s="468"/>
      <c r="BG51" s="468"/>
      <c r="BH51" s="468"/>
    </row>
    <row r="52" spans="1:60" ht="6" customHeight="1">
      <c r="A52" s="134"/>
      <c r="B52" s="153"/>
      <c r="C52" s="153"/>
      <c r="D52" s="153"/>
      <c r="E52" s="153"/>
      <c r="F52" s="288"/>
      <c r="G52" s="301"/>
      <c r="H52" s="301"/>
      <c r="I52" s="301"/>
      <c r="J52" s="301"/>
      <c r="K52" s="301"/>
      <c r="L52" s="301"/>
      <c r="M52" s="328"/>
      <c r="N52" s="328"/>
      <c r="O52" s="328"/>
      <c r="P52" s="328"/>
      <c r="Q52" s="328"/>
      <c r="R52" s="328"/>
      <c r="S52" s="328"/>
      <c r="T52" s="328"/>
      <c r="U52" s="301"/>
      <c r="V52" s="301"/>
      <c r="W52" s="346"/>
      <c r="X52" s="301"/>
      <c r="Y52" s="301"/>
      <c r="Z52" s="301"/>
      <c r="AA52" s="328"/>
      <c r="AB52" s="301"/>
      <c r="AC52" s="301"/>
      <c r="AD52" s="301"/>
      <c r="AE52" s="301"/>
      <c r="AF52" s="301"/>
      <c r="AG52" s="301"/>
      <c r="AH52" s="301"/>
      <c r="AI52" s="301"/>
      <c r="AJ52" s="301"/>
      <c r="AK52" s="301"/>
      <c r="AL52" s="134"/>
      <c r="AM52" s="431"/>
      <c r="AN52" s="133"/>
      <c r="AO52" s="133"/>
      <c r="AP52" s="133"/>
      <c r="AQ52" s="133"/>
      <c r="AR52" s="133"/>
      <c r="AS52" s="133"/>
      <c r="AT52" s="133"/>
      <c r="AU52" s="133"/>
      <c r="AV52" s="133"/>
      <c r="AW52" s="133"/>
      <c r="AX52" s="133"/>
      <c r="AY52" s="133"/>
    </row>
    <row r="53" spans="1:60" s="128" customFormat="1" ht="23.45" customHeight="1">
      <c r="A53" s="2"/>
      <c r="B53" s="170" t="s">
        <v>307</v>
      </c>
      <c r="C53" s="170"/>
      <c r="D53" s="170"/>
      <c r="E53" s="170"/>
      <c r="F53" s="170"/>
      <c r="G53" s="170"/>
      <c r="H53" s="170"/>
      <c r="I53" s="170"/>
      <c r="J53" s="170"/>
      <c r="K53" s="170"/>
      <c r="L53" s="170"/>
      <c r="M53" s="170"/>
      <c r="N53" s="170"/>
      <c r="O53" s="170"/>
      <c r="P53" s="170"/>
      <c r="Q53" s="333"/>
      <c r="R53" s="333"/>
      <c r="S53" s="333"/>
      <c r="T53" s="333"/>
      <c r="U53" s="333"/>
      <c r="V53" s="333"/>
      <c r="W53" s="333"/>
      <c r="X53" s="333"/>
      <c r="Y53" s="333"/>
      <c r="Z53" s="333"/>
      <c r="AA53" s="333"/>
      <c r="AB53" s="333"/>
      <c r="AC53" s="333"/>
      <c r="AD53" s="333"/>
      <c r="AE53" s="333"/>
      <c r="AF53" s="333"/>
      <c r="AG53" s="333"/>
      <c r="AH53" s="333"/>
      <c r="AI53" s="333"/>
      <c r="AJ53" s="333"/>
      <c r="AK53" s="333"/>
      <c r="AL53" s="61"/>
      <c r="AM53" s="134"/>
      <c r="AN53" s="442"/>
      <c r="AO53" s="134"/>
      <c r="AP53" s="134"/>
      <c r="AQ53" s="134"/>
      <c r="AR53" s="134"/>
      <c r="AS53" s="134"/>
      <c r="AT53" s="134"/>
      <c r="AU53" s="134"/>
      <c r="AV53" s="134"/>
      <c r="AW53" s="134"/>
      <c r="AX53" s="134"/>
      <c r="AY53" s="134"/>
    </row>
    <row r="54" spans="1:60" s="1" customFormat="1" ht="19.5" customHeight="1">
      <c r="A54" s="2"/>
      <c r="B54" s="171" t="s">
        <v>311</v>
      </c>
      <c r="C54" s="223"/>
      <c r="D54" s="223"/>
      <c r="E54" s="223"/>
      <c r="F54" s="223"/>
      <c r="G54" s="223"/>
      <c r="H54" s="223"/>
      <c r="I54" s="223"/>
      <c r="J54" s="223"/>
      <c r="K54" s="223"/>
      <c r="L54" s="223"/>
      <c r="M54" s="223"/>
      <c r="N54" s="223"/>
      <c r="O54" s="223"/>
      <c r="P54" s="223"/>
      <c r="Q54" s="223"/>
      <c r="R54" s="223"/>
      <c r="S54" s="223"/>
      <c r="T54" s="223"/>
      <c r="U54" s="223"/>
      <c r="V54" s="223"/>
      <c r="W54" s="223"/>
      <c r="X54" s="223"/>
      <c r="Y54" s="223"/>
      <c r="Z54" s="223"/>
      <c r="AA54" s="223"/>
      <c r="AB54" s="223"/>
      <c r="AC54" s="223"/>
      <c r="AD54" s="223"/>
      <c r="AE54" s="223"/>
      <c r="AF54" s="223"/>
      <c r="AG54" s="223"/>
      <c r="AH54" s="223"/>
      <c r="AI54" s="223"/>
      <c r="AJ54" s="223"/>
      <c r="AK54" s="401"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61"/>
      <c r="AM54" s="428"/>
      <c r="AN54" s="428"/>
      <c r="AO54" s="428"/>
      <c r="AP54" s="428"/>
      <c r="AQ54" s="428"/>
      <c r="AR54" s="428"/>
      <c r="AS54" s="428"/>
      <c r="AT54" s="428"/>
      <c r="AU54" s="428"/>
      <c r="AV54" s="428"/>
      <c r="AW54" s="428"/>
      <c r="AX54" s="428"/>
      <c r="AY54" s="428"/>
    </row>
    <row r="55" spans="1:60" s="1" customFormat="1" ht="31.5" customHeight="1">
      <c r="A55" s="2"/>
      <c r="B55" s="158" t="s">
        <v>314</v>
      </c>
      <c r="C55" s="156"/>
      <c r="D55" s="156"/>
      <c r="E55" s="156"/>
      <c r="F55" s="156"/>
      <c r="G55" s="156"/>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402"/>
      <c r="AL55" s="61"/>
      <c r="AM55" s="434"/>
      <c r="AN55" s="428"/>
      <c r="AO55" s="428"/>
      <c r="AP55" s="428"/>
      <c r="AQ55" s="428"/>
      <c r="AR55" s="428"/>
      <c r="AS55" s="428"/>
      <c r="AT55" s="428"/>
      <c r="AU55" s="428"/>
      <c r="AV55" s="428"/>
      <c r="AW55" s="428"/>
      <c r="AX55" s="428"/>
      <c r="AY55" s="428"/>
    </row>
    <row r="56" spans="1:60" s="1" customFormat="1" ht="19.5" customHeight="1">
      <c r="A56" s="2"/>
      <c r="B56" s="172" t="s">
        <v>319</v>
      </c>
      <c r="C56" s="172"/>
      <c r="D56" s="172"/>
      <c r="E56" s="172"/>
      <c r="F56" s="172"/>
      <c r="G56" s="172"/>
      <c r="H56" s="172"/>
      <c r="I56" s="172"/>
      <c r="J56" s="172"/>
      <c r="K56" s="172"/>
      <c r="L56" s="172"/>
      <c r="M56" s="172"/>
      <c r="N56" s="172"/>
      <c r="O56" s="172"/>
      <c r="P56" s="172"/>
      <c r="Q56" s="172"/>
      <c r="R56" s="172"/>
      <c r="S56" s="172"/>
      <c r="T56" s="172"/>
      <c r="U56" s="172"/>
      <c r="V56" s="172"/>
      <c r="W56" s="172"/>
      <c r="X56" s="172"/>
      <c r="Y56" s="172"/>
      <c r="Z56" s="172"/>
      <c r="AA56" s="172"/>
      <c r="AB56" s="172"/>
      <c r="AC56" s="172"/>
      <c r="AD56" s="172"/>
      <c r="AE56" s="172"/>
      <c r="AF56" s="172"/>
      <c r="AG56" s="172"/>
      <c r="AH56" s="172"/>
      <c r="AI56" s="172"/>
      <c r="AJ56" s="375"/>
      <c r="AK56" s="403" t="str">
        <f>IF(H6="","",IF(AK54="○","",IF(OR(AND(BB65=1,BA65&gt;=2,BA69&gt;=2,BA73&gt;=2,BA77&gt;=2,BA81&gt;=3,BA90&gt;=2),AND(BB65=2,BA65&gt;=1,BA69&gt;=1,BA73&gt;=1,BA77&gt;=1,BA81&gt;=2,BA90&gt;=1)),"○","×")))</f>
        <v/>
      </c>
      <c r="AL56" s="61"/>
      <c r="AM56" s="434"/>
      <c r="AN56" s="434"/>
      <c r="AO56" s="434"/>
      <c r="AP56" s="434"/>
      <c r="AQ56" s="434"/>
      <c r="AR56" s="434"/>
      <c r="AS56" s="434"/>
      <c r="AT56" s="434"/>
      <c r="AU56" s="434"/>
      <c r="AV56" s="434"/>
      <c r="AW56" s="434"/>
      <c r="AX56" s="434"/>
      <c r="AY56" s="434"/>
    </row>
    <row r="57" spans="1:60" s="1" customFormat="1" ht="7.9" customHeight="1">
      <c r="A57" s="2"/>
      <c r="B57" s="173"/>
      <c r="C57" s="173"/>
      <c r="D57" s="173"/>
      <c r="E57" s="173"/>
      <c r="F57" s="173"/>
      <c r="G57" s="173"/>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c r="AI57" s="173"/>
      <c r="AJ57" s="173"/>
      <c r="AK57" s="404"/>
      <c r="AL57" s="61"/>
      <c r="AM57" s="434"/>
      <c r="AN57" s="434"/>
      <c r="AO57" s="434"/>
      <c r="AP57" s="434"/>
      <c r="AQ57" s="434"/>
      <c r="AR57" s="434"/>
      <c r="AS57" s="434"/>
      <c r="AT57" s="434"/>
      <c r="AU57" s="434"/>
      <c r="AV57" s="434"/>
      <c r="AW57" s="434"/>
      <c r="AX57" s="434"/>
      <c r="AY57" s="434"/>
    </row>
    <row r="58" spans="1:60" ht="21" customHeight="1">
      <c r="A58" s="133"/>
      <c r="B58" s="174" t="s">
        <v>320</v>
      </c>
      <c r="C58" s="224"/>
      <c r="D58" s="224"/>
      <c r="E58" s="224"/>
      <c r="F58" s="224"/>
      <c r="G58" s="224"/>
      <c r="H58" s="224"/>
      <c r="I58" s="224"/>
      <c r="J58" s="224"/>
      <c r="K58" s="224"/>
      <c r="L58" s="224"/>
      <c r="M58" s="224"/>
      <c r="N58" s="224"/>
      <c r="O58" s="224"/>
      <c r="P58" s="224"/>
      <c r="Q58" s="224"/>
      <c r="R58" s="224"/>
      <c r="S58" s="224"/>
      <c r="T58" s="224"/>
      <c r="U58" s="224"/>
      <c r="V58" s="134"/>
      <c r="W58" s="224"/>
      <c r="X58" s="224"/>
      <c r="Y58" s="224"/>
      <c r="Z58" s="224"/>
      <c r="AA58" s="224"/>
      <c r="AB58" s="224"/>
      <c r="AC58" s="224"/>
      <c r="AD58" s="224"/>
      <c r="AE58" s="224"/>
      <c r="AF58" s="224"/>
      <c r="AG58" s="224"/>
      <c r="AH58" s="134"/>
      <c r="AI58" s="372" t="str">
        <f>IF(H6="","",IF(OR(BA40&gt;0,BE40&gt;0),"該当",""))</f>
        <v/>
      </c>
      <c r="AJ58" s="376"/>
      <c r="AK58" s="405"/>
      <c r="AL58" s="134"/>
      <c r="AM58" s="2"/>
      <c r="AN58" s="2"/>
      <c r="AO58" s="2"/>
      <c r="AP58" s="2"/>
      <c r="AQ58" s="2"/>
      <c r="AR58" s="2"/>
      <c r="AS58" s="2"/>
      <c r="AT58" s="2"/>
      <c r="AU58" s="2"/>
      <c r="AV58" s="2"/>
      <c r="AW58" s="2"/>
      <c r="AX58" s="2"/>
      <c r="AY58" s="2"/>
    </row>
    <row r="59" spans="1:60" ht="51" customHeight="1">
      <c r="A59" s="133"/>
      <c r="B59" s="175" t="s">
        <v>289</v>
      </c>
      <c r="C59" s="225" t="s">
        <v>321</v>
      </c>
      <c r="D59" s="225"/>
      <c r="E59" s="225"/>
      <c r="F59" s="225"/>
      <c r="G59" s="225"/>
      <c r="H59" s="225"/>
      <c r="I59" s="225"/>
      <c r="J59" s="225"/>
      <c r="K59" s="225"/>
      <c r="L59" s="225"/>
      <c r="M59" s="225"/>
      <c r="N59" s="225"/>
      <c r="O59" s="225"/>
      <c r="P59" s="225"/>
      <c r="Q59" s="225"/>
      <c r="R59" s="225"/>
      <c r="S59" s="225"/>
      <c r="T59" s="225"/>
      <c r="U59" s="225"/>
      <c r="V59" s="225"/>
      <c r="W59" s="225"/>
      <c r="X59" s="225"/>
      <c r="Y59" s="225"/>
      <c r="Z59" s="225"/>
      <c r="AA59" s="225"/>
      <c r="AB59" s="225"/>
      <c r="AC59" s="225"/>
      <c r="AD59" s="225"/>
      <c r="AE59" s="225"/>
      <c r="AF59" s="225"/>
      <c r="AG59" s="225"/>
      <c r="AH59" s="225"/>
      <c r="AI59" s="225"/>
      <c r="AJ59" s="225"/>
      <c r="AK59" s="225"/>
      <c r="AL59" s="134"/>
      <c r="AM59" s="134"/>
      <c r="AN59" s="134"/>
      <c r="AO59" s="134"/>
      <c r="AP59" s="134"/>
      <c r="AQ59" s="448"/>
      <c r="AR59" s="134"/>
      <c r="AS59" s="134"/>
      <c r="AT59" s="134"/>
      <c r="AU59" s="452"/>
      <c r="AV59" s="134"/>
      <c r="AW59" s="134"/>
      <c r="AX59" s="134"/>
      <c r="AY59" s="134"/>
    </row>
    <row r="60" spans="1:60" ht="7.9" customHeight="1">
      <c r="A60" s="133"/>
      <c r="B60" s="134"/>
      <c r="C60" s="134"/>
      <c r="D60" s="134"/>
      <c r="E60" s="134"/>
      <c r="F60" s="134"/>
      <c r="G60" s="134"/>
      <c r="H60" s="134"/>
      <c r="I60" s="134"/>
      <c r="J60" s="134"/>
      <c r="K60" s="134"/>
      <c r="L60" s="134"/>
      <c r="M60" s="134"/>
      <c r="N60" s="134"/>
      <c r="O60" s="134"/>
      <c r="P60" s="134"/>
      <c r="Q60" s="134"/>
      <c r="R60" s="134"/>
      <c r="S60" s="134"/>
      <c r="T60" s="134"/>
      <c r="U60" s="134"/>
      <c r="V60" s="134"/>
      <c r="W60" s="134"/>
      <c r="X60" s="134"/>
      <c r="Y60" s="134"/>
      <c r="Z60" s="134"/>
      <c r="AA60" s="134"/>
      <c r="AB60" s="134"/>
      <c r="AC60" s="134"/>
      <c r="AD60" s="134"/>
      <c r="AE60" s="134"/>
      <c r="AF60" s="134"/>
      <c r="AG60" s="134"/>
      <c r="AH60" s="134"/>
      <c r="AI60" s="134"/>
      <c r="AJ60" s="134"/>
      <c r="AK60" s="134"/>
      <c r="AL60" s="134"/>
      <c r="AM60" s="134"/>
      <c r="AN60" s="134"/>
      <c r="AO60" s="134"/>
      <c r="AP60" s="134"/>
      <c r="AQ60" s="134"/>
      <c r="AR60" s="134"/>
      <c r="AS60" s="134"/>
      <c r="AT60" s="134"/>
      <c r="AU60" s="134"/>
      <c r="AV60" s="134"/>
      <c r="AW60" s="134"/>
      <c r="AX60" s="134"/>
      <c r="AY60" s="134"/>
    </row>
    <row r="61" spans="1:60" ht="21" customHeight="1">
      <c r="A61" s="133"/>
      <c r="B61" s="176" t="s">
        <v>23</v>
      </c>
      <c r="C61" s="226"/>
      <c r="D61" s="226"/>
      <c r="E61" s="226"/>
      <c r="F61" s="226"/>
      <c r="G61" s="226"/>
      <c r="H61" s="226"/>
      <c r="I61" s="226"/>
      <c r="J61" s="226"/>
      <c r="K61" s="226"/>
      <c r="L61" s="226"/>
      <c r="M61" s="226"/>
      <c r="N61" s="226"/>
      <c r="O61" s="226"/>
      <c r="P61" s="226"/>
      <c r="Q61" s="226"/>
      <c r="R61" s="226"/>
      <c r="S61" s="226"/>
      <c r="T61" s="226"/>
      <c r="U61" s="226"/>
      <c r="V61" s="226"/>
      <c r="W61" s="226"/>
      <c r="X61" s="226"/>
      <c r="Y61" s="226"/>
      <c r="Z61" s="226"/>
      <c r="AA61" s="226"/>
      <c r="AB61" s="226"/>
      <c r="AC61" s="226"/>
      <c r="AD61" s="226"/>
      <c r="AE61" s="226"/>
      <c r="AF61" s="226"/>
      <c r="AG61" s="226"/>
      <c r="AH61" s="138"/>
      <c r="AI61" s="373" t="str">
        <f>IF(H6="","",IF(OR(BA32-BA40&gt;0,BE32-BE40&gt;0),"該当",""))</f>
        <v/>
      </c>
      <c r="AJ61" s="377"/>
      <c r="AK61" s="406"/>
      <c r="AL61" s="134"/>
      <c r="AM61" s="134"/>
      <c r="AN61" s="134"/>
      <c r="AO61" s="133"/>
      <c r="AP61" s="134"/>
      <c r="AQ61" s="134"/>
      <c r="AR61" s="134"/>
      <c r="AS61" s="134"/>
      <c r="AT61" s="134"/>
      <c r="AU61" s="134"/>
      <c r="AV61" s="134"/>
      <c r="AW61" s="134"/>
      <c r="AX61" s="134"/>
      <c r="AY61" s="134"/>
    </row>
    <row r="62" spans="1:60" ht="59.45" customHeight="1">
      <c r="A62" s="133"/>
      <c r="B62" s="175" t="s">
        <v>289</v>
      </c>
      <c r="C62" s="225" t="s">
        <v>331</v>
      </c>
      <c r="D62" s="225"/>
      <c r="E62" s="225"/>
      <c r="F62" s="225"/>
      <c r="G62" s="225"/>
      <c r="H62" s="225"/>
      <c r="I62" s="225"/>
      <c r="J62" s="225"/>
      <c r="K62" s="225"/>
      <c r="L62" s="225"/>
      <c r="M62" s="225"/>
      <c r="N62" s="225"/>
      <c r="O62" s="225"/>
      <c r="P62" s="225"/>
      <c r="Q62" s="225"/>
      <c r="R62" s="225"/>
      <c r="S62" s="225"/>
      <c r="T62" s="225"/>
      <c r="U62" s="225"/>
      <c r="V62" s="225"/>
      <c r="W62" s="225"/>
      <c r="X62" s="225"/>
      <c r="Y62" s="225"/>
      <c r="Z62" s="225"/>
      <c r="AA62" s="225"/>
      <c r="AB62" s="225"/>
      <c r="AC62" s="225"/>
      <c r="AD62" s="225"/>
      <c r="AE62" s="225"/>
      <c r="AF62" s="225"/>
      <c r="AG62" s="225"/>
      <c r="AH62" s="225"/>
      <c r="AI62" s="225"/>
      <c r="AJ62" s="225"/>
      <c r="AK62" s="225"/>
      <c r="AL62" s="134"/>
      <c r="AM62" s="134"/>
      <c r="AN62" s="134"/>
      <c r="AO62" s="134"/>
      <c r="AP62" s="134"/>
      <c r="AR62" s="134"/>
      <c r="AS62" s="134"/>
      <c r="AT62" s="134"/>
      <c r="AU62" s="134"/>
      <c r="AV62" s="134"/>
      <c r="AW62" s="134"/>
      <c r="AX62" s="134"/>
      <c r="AY62" s="134"/>
    </row>
    <row r="63" spans="1:60" ht="7.9" customHeight="1">
      <c r="A63" s="133"/>
      <c r="B63" s="177"/>
      <c r="C63" s="177"/>
      <c r="D63" s="177"/>
      <c r="E63" s="177"/>
      <c r="F63" s="177"/>
      <c r="G63" s="177"/>
      <c r="H63" s="177"/>
      <c r="I63" s="177"/>
      <c r="J63" s="177"/>
      <c r="K63" s="177"/>
      <c r="L63" s="177"/>
      <c r="M63" s="177"/>
      <c r="N63" s="177"/>
      <c r="O63" s="177"/>
      <c r="P63" s="177"/>
      <c r="Q63" s="177"/>
      <c r="R63" s="177"/>
      <c r="S63" s="177"/>
      <c r="T63" s="177"/>
      <c r="U63" s="177"/>
      <c r="V63" s="177"/>
      <c r="W63" s="177"/>
      <c r="X63" s="177"/>
      <c r="Y63" s="177"/>
      <c r="Z63" s="177"/>
      <c r="AA63" s="177"/>
      <c r="AB63" s="177"/>
      <c r="AC63" s="177"/>
      <c r="AD63" s="177"/>
      <c r="AE63" s="177"/>
      <c r="AF63" s="177"/>
      <c r="AG63" s="177"/>
      <c r="AH63" s="177"/>
      <c r="AI63" s="177"/>
      <c r="AJ63" s="177"/>
      <c r="AK63" s="177"/>
      <c r="AL63" s="134"/>
      <c r="AM63" s="134"/>
      <c r="AN63" s="134"/>
      <c r="AO63" s="134"/>
      <c r="AP63" s="134"/>
      <c r="AQ63" s="134"/>
      <c r="AR63" s="134"/>
      <c r="AS63" s="134"/>
      <c r="AT63" s="134"/>
      <c r="AU63" s="134"/>
      <c r="AV63" s="134"/>
      <c r="AW63" s="134"/>
      <c r="AX63" s="134"/>
      <c r="AY63" s="134"/>
    </row>
    <row r="64" spans="1:60" ht="19.899999999999999" customHeight="1">
      <c r="A64" s="133"/>
      <c r="B64" s="178" t="s">
        <v>334</v>
      </c>
      <c r="C64" s="227"/>
      <c r="D64" s="261"/>
      <c r="E64" s="278" t="s">
        <v>336</v>
      </c>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407"/>
      <c r="AL64" s="134"/>
      <c r="AM64" s="133"/>
      <c r="AN64" s="428"/>
      <c r="AO64" s="428"/>
      <c r="AP64" s="428"/>
      <c r="AQ64" s="428"/>
      <c r="AR64" s="428"/>
      <c r="AS64" s="428"/>
      <c r="AT64" s="428"/>
      <c r="AU64" s="428"/>
      <c r="AV64" s="428"/>
      <c r="AW64" s="428"/>
      <c r="AX64" s="428"/>
      <c r="AY64" s="428"/>
      <c r="AZ64" s="440"/>
      <c r="BA64" s="469" t="s">
        <v>345</v>
      </c>
      <c r="BB64" s="126" t="s">
        <v>346</v>
      </c>
    </row>
    <row r="65" spans="1:54" ht="15.6" customHeight="1">
      <c r="A65" s="133"/>
      <c r="B65" s="39" t="s">
        <v>352</v>
      </c>
      <c r="C65" s="45"/>
      <c r="D65" s="45"/>
      <c r="E65" s="279"/>
      <c r="F65" s="292"/>
      <c r="G65" s="303" t="s">
        <v>354</v>
      </c>
      <c r="H65" s="313"/>
      <c r="I65" s="313"/>
      <c r="J65" s="313"/>
      <c r="K65" s="313"/>
      <c r="L65" s="313"/>
      <c r="M65" s="313"/>
      <c r="N65" s="313"/>
      <c r="O65" s="313"/>
      <c r="P65" s="313"/>
      <c r="Q65" s="313"/>
      <c r="R65" s="313"/>
      <c r="S65" s="313"/>
      <c r="T65" s="313"/>
      <c r="U65" s="313"/>
      <c r="V65" s="313"/>
      <c r="W65" s="313"/>
      <c r="X65" s="313"/>
      <c r="Y65" s="313"/>
      <c r="Z65" s="313"/>
      <c r="AA65" s="313"/>
      <c r="AB65" s="313"/>
      <c r="AC65" s="313"/>
      <c r="AD65" s="313"/>
      <c r="AE65" s="313"/>
      <c r="AF65" s="313"/>
      <c r="AG65" s="313"/>
      <c r="AH65" s="313"/>
      <c r="AI65" s="313"/>
      <c r="AJ65" s="313"/>
      <c r="AK65" s="313"/>
      <c r="AL65" s="134"/>
      <c r="AM65" s="425" t="str">
        <f>IF(AI58="該当","！この区分（４項目）から２つ以上の取組が選択されていません。","！この区分（４項目）から１つ以上の取組が選択されていません。")</f>
        <v>！この区分（４項目）から１つ以上の取組が選択されていません。</v>
      </c>
      <c r="AN65" s="436"/>
      <c r="AO65" s="436"/>
      <c r="AP65" s="436"/>
      <c r="AQ65" s="436"/>
      <c r="AR65" s="436"/>
      <c r="AS65" s="436"/>
      <c r="AT65" s="436"/>
      <c r="AU65" s="436"/>
      <c r="AV65" s="436"/>
      <c r="AW65" s="436"/>
      <c r="AX65" s="454"/>
      <c r="AY65" s="134"/>
      <c r="AZ65" s="128"/>
      <c r="BA65" s="470">
        <f>COUNTIF(E65:F68,"✓")+COUNTIF(E65:F68,"誓約")</f>
        <v>0</v>
      </c>
      <c r="BB65" s="477" t="str">
        <f>IF(AI58="該当",1,IF(AI61="該当",2,""))</f>
        <v/>
      </c>
    </row>
    <row r="66" spans="1:54" ht="15" customHeight="1">
      <c r="A66" s="133"/>
      <c r="B66" s="40"/>
      <c r="C66" s="46"/>
      <c r="D66" s="46"/>
      <c r="E66" s="280"/>
      <c r="F66" s="293"/>
      <c r="G66" s="303" t="s">
        <v>357</v>
      </c>
      <c r="H66" s="313"/>
      <c r="I66" s="313"/>
      <c r="J66" s="313"/>
      <c r="K66" s="313"/>
      <c r="L66" s="313"/>
      <c r="M66" s="313"/>
      <c r="N66" s="313"/>
      <c r="O66" s="313"/>
      <c r="P66" s="313"/>
      <c r="Q66" s="313"/>
      <c r="R66" s="313"/>
      <c r="S66" s="313"/>
      <c r="T66" s="313"/>
      <c r="U66" s="313"/>
      <c r="V66" s="313"/>
      <c r="W66" s="313"/>
      <c r="X66" s="313"/>
      <c r="Y66" s="313"/>
      <c r="Z66" s="313"/>
      <c r="AA66" s="313"/>
      <c r="AB66" s="313"/>
      <c r="AC66" s="313"/>
      <c r="AD66" s="313"/>
      <c r="AE66" s="313"/>
      <c r="AF66" s="313"/>
      <c r="AG66" s="313"/>
      <c r="AH66" s="313"/>
      <c r="AI66" s="313"/>
      <c r="AJ66" s="313"/>
      <c r="AK66" s="313"/>
      <c r="AL66" s="134"/>
      <c r="AM66" s="426"/>
      <c r="AN66" s="435"/>
      <c r="AO66" s="435"/>
      <c r="AP66" s="435"/>
      <c r="AQ66" s="435"/>
      <c r="AR66" s="435"/>
      <c r="AS66" s="435"/>
      <c r="AT66" s="435"/>
      <c r="AU66" s="435"/>
      <c r="AV66" s="435"/>
      <c r="AW66" s="435"/>
      <c r="AX66" s="455"/>
      <c r="AY66" s="434"/>
      <c r="AZ66" s="459"/>
      <c r="BA66" s="470"/>
    </row>
    <row r="67" spans="1:54" ht="24.6" customHeight="1">
      <c r="A67" s="133"/>
      <c r="B67" s="40"/>
      <c r="C67" s="46"/>
      <c r="D67" s="46"/>
      <c r="E67" s="280"/>
      <c r="F67" s="293"/>
      <c r="G67" s="303" t="s">
        <v>364</v>
      </c>
      <c r="H67" s="313"/>
      <c r="I67" s="313"/>
      <c r="J67" s="313"/>
      <c r="K67" s="313"/>
      <c r="L67" s="313"/>
      <c r="M67" s="313"/>
      <c r="N67" s="313"/>
      <c r="O67" s="313"/>
      <c r="P67" s="313"/>
      <c r="Q67" s="313"/>
      <c r="R67" s="313"/>
      <c r="S67" s="313"/>
      <c r="T67" s="313"/>
      <c r="U67" s="313"/>
      <c r="V67" s="313"/>
      <c r="W67" s="313"/>
      <c r="X67" s="313"/>
      <c r="Y67" s="313"/>
      <c r="Z67" s="313"/>
      <c r="AA67" s="313"/>
      <c r="AB67" s="313"/>
      <c r="AC67" s="313"/>
      <c r="AD67" s="313"/>
      <c r="AE67" s="313"/>
      <c r="AF67" s="313"/>
      <c r="AG67" s="313"/>
      <c r="AH67" s="313"/>
      <c r="AI67" s="313"/>
      <c r="AJ67" s="313"/>
      <c r="AK67" s="313"/>
      <c r="AL67" s="134"/>
      <c r="AM67" s="434"/>
      <c r="AN67" s="434"/>
      <c r="AO67" s="434"/>
      <c r="AP67" s="434"/>
      <c r="AQ67" s="434"/>
      <c r="AR67" s="434"/>
      <c r="AS67" s="434"/>
      <c r="AT67" s="434"/>
      <c r="AU67" s="434"/>
      <c r="AV67" s="434"/>
      <c r="AW67" s="434"/>
      <c r="AX67" s="434"/>
      <c r="AY67" s="434"/>
      <c r="AZ67" s="459"/>
      <c r="BA67" s="470"/>
    </row>
    <row r="68" spans="1:54" ht="15" customHeight="1">
      <c r="A68" s="133"/>
      <c r="B68" s="179"/>
      <c r="C68" s="228"/>
      <c r="D68" s="228"/>
      <c r="E68" s="281"/>
      <c r="F68" s="294"/>
      <c r="G68" s="303" t="s">
        <v>368</v>
      </c>
      <c r="H68" s="313"/>
      <c r="I68" s="313"/>
      <c r="J68" s="313"/>
      <c r="K68" s="313"/>
      <c r="L68" s="313"/>
      <c r="M68" s="313"/>
      <c r="N68" s="313"/>
      <c r="O68" s="313"/>
      <c r="P68" s="313"/>
      <c r="Q68" s="313"/>
      <c r="R68" s="313"/>
      <c r="S68" s="313"/>
      <c r="T68" s="313"/>
      <c r="U68" s="313"/>
      <c r="V68" s="313"/>
      <c r="W68" s="313"/>
      <c r="X68" s="313"/>
      <c r="Y68" s="313"/>
      <c r="Z68" s="313"/>
      <c r="AA68" s="313"/>
      <c r="AB68" s="313"/>
      <c r="AC68" s="313"/>
      <c r="AD68" s="313"/>
      <c r="AE68" s="313"/>
      <c r="AF68" s="313"/>
      <c r="AG68" s="313"/>
      <c r="AH68" s="313"/>
      <c r="AI68" s="313"/>
      <c r="AJ68" s="313"/>
      <c r="AK68" s="313"/>
      <c r="AL68" s="134"/>
      <c r="AM68" s="435"/>
      <c r="AN68" s="435"/>
      <c r="AO68" s="435"/>
      <c r="AP68" s="435"/>
      <c r="AQ68" s="435"/>
      <c r="AR68" s="435"/>
      <c r="AS68" s="435"/>
      <c r="AT68" s="435"/>
      <c r="AU68" s="435"/>
      <c r="AV68" s="435"/>
      <c r="AW68" s="435"/>
      <c r="AX68" s="435"/>
      <c r="AY68" s="134"/>
      <c r="AZ68" s="128"/>
      <c r="BA68" s="470"/>
    </row>
    <row r="69" spans="1:54" ht="39.6" customHeight="1">
      <c r="A69" s="133"/>
      <c r="B69" s="39" t="s">
        <v>371</v>
      </c>
      <c r="C69" s="45"/>
      <c r="D69" s="45"/>
      <c r="E69" s="279"/>
      <c r="F69" s="292"/>
      <c r="G69" s="303" t="s">
        <v>378</v>
      </c>
      <c r="H69" s="313"/>
      <c r="I69" s="313"/>
      <c r="J69" s="313"/>
      <c r="K69" s="313"/>
      <c r="L69" s="313"/>
      <c r="M69" s="313"/>
      <c r="N69" s="313"/>
      <c r="O69" s="313"/>
      <c r="P69" s="313"/>
      <c r="Q69" s="313"/>
      <c r="R69" s="313"/>
      <c r="S69" s="313"/>
      <c r="T69" s="313"/>
      <c r="U69" s="313"/>
      <c r="V69" s="313"/>
      <c r="W69" s="313"/>
      <c r="X69" s="313"/>
      <c r="Y69" s="313"/>
      <c r="Z69" s="313"/>
      <c r="AA69" s="313"/>
      <c r="AB69" s="313"/>
      <c r="AC69" s="313"/>
      <c r="AD69" s="313"/>
      <c r="AE69" s="313"/>
      <c r="AF69" s="313"/>
      <c r="AG69" s="313"/>
      <c r="AH69" s="313"/>
      <c r="AI69" s="313"/>
      <c r="AJ69" s="313"/>
      <c r="AK69" s="313"/>
      <c r="AL69" s="134"/>
      <c r="AM69" s="425" t="str">
        <f>IF(AI58="該当","！この区分（４項目）から２つ以上の取組が選択されていません。","！この区分（４項目）から１つ以上の取組が選択されていません。")</f>
        <v>！この区分（４項目）から１つ以上の取組が選択されていません。</v>
      </c>
      <c r="AN69" s="436"/>
      <c r="AO69" s="436"/>
      <c r="AP69" s="436"/>
      <c r="AQ69" s="436"/>
      <c r="AR69" s="436"/>
      <c r="AS69" s="436"/>
      <c r="AT69" s="436"/>
      <c r="AU69" s="436"/>
      <c r="AV69" s="436"/>
      <c r="AW69" s="436"/>
      <c r="AX69" s="454"/>
      <c r="AY69" s="134"/>
      <c r="AZ69" s="128"/>
      <c r="BA69" s="470">
        <f>COUNTIF(E69:F72,"✓")+COUNTIF(E69:F72,"誓約")</f>
        <v>0</v>
      </c>
    </row>
    <row r="70" spans="1:54" ht="15" customHeight="1">
      <c r="A70" s="133"/>
      <c r="B70" s="40"/>
      <c r="C70" s="46"/>
      <c r="D70" s="46"/>
      <c r="E70" s="280"/>
      <c r="F70" s="293"/>
      <c r="G70" s="303" t="s">
        <v>390</v>
      </c>
      <c r="H70" s="313"/>
      <c r="I70" s="313"/>
      <c r="J70" s="313"/>
      <c r="K70" s="313"/>
      <c r="L70" s="313"/>
      <c r="M70" s="313"/>
      <c r="N70" s="313"/>
      <c r="O70" s="313"/>
      <c r="P70" s="313"/>
      <c r="Q70" s="313"/>
      <c r="R70" s="313"/>
      <c r="S70" s="313"/>
      <c r="T70" s="313"/>
      <c r="U70" s="313"/>
      <c r="V70" s="313"/>
      <c r="W70" s="313"/>
      <c r="X70" s="313"/>
      <c r="Y70" s="313"/>
      <c r="Z70" s="313"/>
      <c r="AA70" s="313"/>
      <c r="AB70" s="313"/>
      <c r="AC70" s="313"/>
      <c r="AD70" s="313"/>
      <c r="AE70" s="313"/>
      <c r="AF70" s="313"/>
      <c r="AG70" s="313"/>
      <c r="AH70" s="313"/>
      <c r="AI70" s="313"/>
      <c r="AJ70" s="313"/>
      <c r="AK70" s="313"/>
      <c r="AL70" s="134"/>
      <c r="AM70" s="426"/>
      <c r="AN70" s="435"/>
      <c r="AO70" s="435"/>
      <c r="AP70" s="435"/>
      <c r="AQ70" s="435"/>
      <c r="AR70" s="435"/>
      <c r="AS70" s="435"/>
      <c r="AT70" s="435"/>
      <c r="AU70" s="435"/>
      <c r="AV70" s="435"/>
      <c r="AW70" s="435"/>
      <c r="AX70" s="455"/>
      <c r="AY70" s="434"/>
      <c r="AZ70" s="459"/>
      <c r="BA70" s="470"/>
    </row>
    <row r="71" spans="1:54" ht="15" customHeight="1">
      <c r="A71" s="133"/>
      <c r="B71" s="40"/>
      <c r="C71" s="46"/>
      <c r="D71" s="46"/>
      <c r="E71" s="282"/>
      <c r="F71" s="295"/>
      <c r="G71" s="303" t="s">
        <v>397</v>
      </c>
      <c r="H71" s="313"/>
      <c r="I71" s="313"/>
      <c r="J71" s="313"/>
      <c r="K71" s="313"/>
      <c r="L71" s="313"/>
      <c r="M71" s="313"/>
      <c r="N71" s="313"/>
      <c r="O71" s="313"/>
      <c r="P71" s="313"/>
      <c r="Q71" s="313"/>
      <c r="R71" s="313"/>
      <c r="S71" s="313"/>
      <c r="T71" s="313"/>
      <c r="U71" s="313"/>
      <c r="V71" s="313"/>
      <c r="W71" s="313"/>
      <c r="X71" s="313"/>
      <c r="Y71" s="313"/>
      <c r="Z71" s="313"/>
      <c r="AA71" s="313"/>
      <c r="AB71" s="313"/>
      <c r="AC71" s="313"/>
      <c r="AD71" s="313"/>
      <c r="AE71" s="313"/>
      <c r="AF71" s="313"/>
      <c r="AG71" s="313"/>
      <c r="AH71" s="313"/>
      <c r="AI71" s="313"/>
      <c r="AJ71" s="313"/>
      <c r="AK71" s="313"/>
      <c r="AL71" s="134"/>
      <c r="AM71" s="436"/>
      <c r="AN71" s="434"/>
      <c r="AO71" s="434"/>
      <c r="AP71" s="434"/>
      <c r="AQ71" s="434"/>
      <c r="AR71" s="434"/>
      <c r="AS71" s="434"/>
      <c r="AT71" s="434"/>
      <c r="AU71" s="434"/>
      <c r="AV71" s="434"/>
      <c r="AW71" s="434"/>
      <c r="AX71" s="434"/>
      <c r="AY71" s="434"/>
      <c r="AZ71" s="459"/>
      <c r="BA71" s="470"/>
    </row>
    <row r="72" spans="1:54" ht="15" customHeight="1">
      <c r="A72" s="133"/>
      <c r="B72" s="179"/>
      <c r="C72" s="228"/>
      <c r="D72" s="228"/>
      <c r="E72" s="283"/>
      <c r="F72" s="296"/>
      <c r="G72" s="303" t="s">
        <v>399</v>
      </c>
      <c r="H72" s="313"/>
      <c r="I72" s="313"/>
      <c r="J72" s="313"/>
      <c r="K72" s="313"/>
      <c r="L72" s="313"/>
      <c r="M72" s="313"/>
      <c r="N72" s="313"/>
      <c r="O72" s="313"/>
      <c r="P72" s="313"/>
      <c r="Q72" s="313"/>
      <c r="R72" s="313"/>
      <c r="S72" s="313"/>
      <c r="T72" s="313"/>
      <c r="U72" s="313"/>
      <c r="V72" s="313"/>
      <c r="W72" s="313"/>
      <c r="X72" s="313"/>
      <c r="Y72" s="313"/>
      <c r="Z72" s="313"/>
      <c r="AA72" s="313"/>
      <c r="AB72" s="313"/>
      <c r="AC72" s="313"/>
      <c r="AD72" s="313"/>
      <c r="AE72" s="313"/>
      <c r="AF72" s="313"/>
      <c r="AG72" s="313"/>
      <c r="AH72" s="313"/>
      <c r="AI72" s="313"/>
      <c r="AJ72" s="313"/>
      <c r="AK72" s="313"/>
      <c r="AL72" s="134"/>
      <c r="AM72" s="435"/>
      <c r="AN72" s="435"/>
      <c r="AO72" s="435"/>
      <c r="AP72" s="435"/>
      <c r="AQ72" s="435"/>
      <c r="AR72" s="435"/>
      <c r="AS72" s="435"/>
      <c r="AT72" s="435"/>
      <c r="AU72" s="435"/>
      <c r="AV72" s="435"/>
      <c r="AW72" s="435"/>
      <c r="AX72" s="435"/>
      <c r="AY72" s="134"/>
      <c r="AZ72" s="128"/>
      <c r="BA72" s="470"/>
    </row>
    <row r="73" spans="1:54" ht="15" customHeight="1">
      <c r="A73" s="133"/>
      <c r="B73" s="39" t="s">
        <v>341</v>
      </c>
      <c r="C73" s="45"/>
      <c r="D73" s="45"/>
      <c r="E73" s="279"/>
      <c r="F73" s="292"/>
      <c r="G73" s="303" t="s">
        <v>406</v>
      </c>
      <c r="H73" s="313"/>
      <c r="I73" s="313"/>
      <c r="J73" s="313"/>
      <c r="K73" s="313"/>
      <c r="L73" s="313"/>
      <c r="M73" s="313"/>
      <c r="N73" s="313"/>
      <c r="O73" s="313"/>
      <c r="P73" s="313"/>
      <c r="Q73" s="313"/>
      <c r="R73" s="313"/>
      <c r="S73" s="313"/>
      <c r="T73" s="313"/>
      <c r="U73" s="313"/>
      <c r="V73" s="313"/>
      <c r="W73" s="313"/>
      <c r="X73" s="313"/>
      <c r="Y73" s="313"/>
      <c r="Z73" s="313"/>
      <c r="AA73" s="313"/>
      <c r="AB73" s="313"/>
      <c r="AC73" s="313"/>
      <c r="AD73" s="313"/>
      <c r="AE73" s="313"/>
      <c r="AF73" s="313"/>
      <c r="AG73" s="313"/>
      <c r="AH73" s="313"/>
      <c r="AI73" s="313"/>
      <c r="AJ73" s="313"/>
      <c r="AK73" s="313"/>
      <c r="AL73" s="134"/>
      <c r="AM73" s="425" t="str">
        <f>IF(AI58="該当","！この区分（４項目）から２つ以上の取組が選択されていません。","！この区分（４項目）から１つ以上の取組が選択されていません。")</f>
        <v>！この区分（４項目）から１つ以上の取組が選択されていません。</v>
      </c>
      <c r="AN73" s="436"/>
      <c r="AO73" s="436"/>
      <c r="AP73" s="436"/>
      <c r="AQ73" s="436"/>
      <c r="AR73" s="436"/>
      <c r="AS73" s="436"/>
      <c r="AT73" s="436"/>
      <c r="AU73" s="436"/>
      <c r="AV73" s="436"/>
      <c r="AW73" s="436"/>
      <c r="AX73" s="454"/>
      <c r="AY73" s="134"/>
      <c r="AZ73" s="128"/>
      <c r="BA73" s="470">
        <f>COUNTIF(E73:F76,"✓")+COUNTIF(E73:F76,"誓約")</f>
        <v>0</v>
      </c>
    </row>
    <row r="74" spans="1:54" ht="28.15" customHeight="1">
      <c r="A74" s="133"/>
      <c r="B74" s="40"/>
      <c r="C74" s="46"/>
      <c r="D74" s="46"/>
      <c r="E74" s="280"/>
      <c r="F74" s="293"/>
      <c r="G74" s="303" t="s">
        <v>408</v>
      </c>
      <c r="H74" s="313"/>
      <c r="I74" s="313"/>
      <c r="J74" s="313"/>
      <c r="K74" s="313"/>
      <c r="L74" s="313"/>
      <c r="M74" s="313"/>
      <c r="N74" s="313"/>
      <c r="O74" s="313"/>
      <c r="P74" s="313"/>
      <c r="Q74" s="313"/>
      <c r="R74" s="313"/>
      <c r="S74" s="313"/>
      <c r="T74" s="313"/>
      <c r="U74" s="313"/>
      <c r="V74" s="313"/>
      <c r="W74" s="313"/>
      <c r="X74" s="313"/>
      <c r="Y74" s="313"/>
      <c r="Z74" s="313"/>
      <c r="AA74" s="313"/>
      <c r="AB74" s="313"/>
      <c r="AC74" s="313"/>
      <c r="AD74" s="313"/>
      <c r="AE74" s="313"/>
      <c r="AF74" s="313"/>
      <c r="AG74" s="313"/>
      <c r="AH74" s="313"/>
      <c r="AI74" s="313"/>
      <c r="AJ74" s="313"/>
      <c r="AK74" s="313"/>
      <c r="AL74" s="134"/>
      <c r="AM74" s="426"/>
      <c r="AN74" s="435"/>
      <c r="AO74" s="435"/>
      <c r="AP74" s="435"/>
      <c r="AQ74" s="435"/>
      <c r="AR74" s="435"/>
      <c r="AS74" s="435"/>
      <c r="AT74" s="435"/>
      <c r="AU74" s="435"/>
      <c r="AV74" s="435"/>
      <c r="AW74" s="435"/>
      <c r="AX74" s="455"/>
      <c r="AY74" s="434"/>
      <c r="AZ74" s="459"/>
      <c r="BA74" s="470"/>
    </row>
    <row r="75" spans="1:54" ht="45.6" customHeight="1">
      <c r="A75" s="133"/>
      <c r="B75" s="40"/>
      <c r="C75" s="46"/>
      <c r="D75" s="46"/>
      <c r="E75" s="280"/>
      <c r="F75" s="293"/>
      <c r="G75" s="303" t="s">
        <v>413</v>
      </c>
      <c r="H75" s="313"/>
      <c r="I75" s="313"/>
      <c r="J75" s="313"/>
      <c r="K75" s="313"/>
      <c r="L75" s="313"/>
      <c r="M75" s="313"/>
      <c r="N75" s="313"/>
      <c r="O75" s="313"/>
      <c r="P75" s="313"/>
      <c r="Q75" s="313"/>
      <c r="R75" s="313"/>
      <c r="S75" s="313"/>
      <c r="T75" s="313"/>
      <c r="U75" s="313"/>
      <c r="V75" s="313"/>
      <c r="W75" s="313"/>
      <c r="X75" s="313"/>
      <c r="Y75" s="313"/>
      <c r="Z75" s="313"/>
      <c r="AA75" s="313"/>
      <c r="AB75" s="313"/>
      <c r="AC75" s="313"/>
      <c r="AD75" s="313"/>
      <c r="AE75" s="313"/>
      <c r="AF75" s="313"/>
      <c r="AG75" s="313"/>
      <c r="AH75" s="313"/>
      <c r="AI75" s="313"/>
      <c r="AJ75" s="313"/>
      <c r="AK75" s="313"/>
      <c r="AL75" s="134"/>
      <c r="AM75" s="434"/>
      <c r="AN75" s="434"/>
      <c r="AO75" s="434"/>
      <c r="AP75" s="434"/>
      <c r="AQ75" s="434"/>
      <c r="AR75" s="434"/>
      <c r="AS75" s="434"/>
      <c r="AT75" s="434"/>
      <c r="AU75" s="434"/>
      <c r="AV75" s="434"/>
      <c r="AW75" s="434"/>
      <c r="AX75" s="434"/>
      <c r="AZ75" s="459"/>
      <c r="BA75" s="470"/>
    </row>
    <row r="76" spans="1:54" ht="27" customHeight="1">
      <c r="A76" s="133"/>
      <c r="B76" s="179"/>
      <c r="C76" s="228"/>
      <c r="D76" s="228"/>
      <c r="E76" s="280"/>
      <c r="F76" s="293"/>
      <c r="G76" s="303" t="s">
        <v>418</v>
      </c>
      <c r="H76" s="313"/>
      <c r="I76" s="313"/>
      <c r="J76" s="313"/>
      <c r="K76" s="313"/>
      <c r="L76" s="313"/>
      <c r="M76" s="313"/>
      <c r="N76" s="313"/>
      <c r="O76" s="313"/>
      <c r="P76" s="313"/>
      <c r="Q76" s="313"/>
      <c r="R76" s="313"/>
      <c r="S76" s="313"/>
      <c r="T76" s="313"/>
      <c r="U76" s="313"/>
      <c r="V76" s="313"/>
      <c r="W76" s="313"/>
      <c r="X76" s="313"/>
      <c r="Y76" s="313"/>
      <c r="Z76" s="313"/>
      <c r="AA76" s="313"/>
      <c r="AB76" s="313"/>
      <c r="AC76" s="313"/>
      <c r="AD76" s="313"/>
      <c r="AE76" s="313"/>
      <c r="AF76" s="313"/>
      <c r="AG76" s="313"/>
      <c r="AH76" s="313"/>
      <c r="AI76" s="313"/>
      <c r="AJ76" s="313"/>
      <c r="AK76" s="313"/>
      <c r="AL76" s="134"/>
      <c r="AM76" s="435"/>
      <c r="AN76" s="435"/>
      <c r="AO76" s="435"/>
      <c r="AP76" s="435"/>
      <c r="AQ76" s="435"/>
      <c r="AR76" s="435"/>
      <c r="AS76" s="435"/>
      <c r="AT76" s="435"/>
      <c r="AU76" s="435"/>
      <c r="AV76" s="435"/>
      <c r="AW76" s="435"/>
      <c r="AX76" s="435"/>
      <c r="AY76" s="134"/>
      <c r="AZ76" s="128"/>
      <c r="BA76" s="470"/>
    </row>
    <row r="77" spans="1:54" ht="15" customHeight="1">
      <c r="A77" s="133"/>
      <c r="B77" s="39" t="s">
        <v>373</v>
      </c>
      <c r="C77" s="45"/>
      <c r="D77" s="45"/>
      <c r="E77" s="279"/>
      <c r="F77" s="292"/>
      <c r="G77" s="303" t="s">
        <v>419</v>
      </c>
      <c r="H77" s="313"/>
      <c r="I77" s="313"/>
      <c r="J77" s="313"/>
      <c r="K77" s="313"/>
      <c r="L77" s="313"/>
      <c r="M77" s="313"/>
      <c r="N77" s="313"/>
      <c r="O77" s="313"/>
      <c r="P77" s="313"/>
      <c r="Q77" s="313"/>
      <c r="R77" s="313"/>
      <c r="S77" s="313"/>
      <c r="T77" s="313"/>
      <c r="U77" s="313"/>
      <c r="V77" s="313"/>
      <c r="W77" s="313"/>
      <c r="X77" s="313"/>
      <c r="Y77" s="313"/>
      <c r="Z77" s="313"/>
      <c r="AA77" s="313"/>
      <c r="AB77" s="313"/>
      <c r="AC77" s="313"/>
      <c r="AD77" s="313"/>
      <c r="AE77" s="313"/>
      <c r="AF77" s="313"/>
      <c r="AG77" s="313"/>
      <c r="AH77" s="313"/>
      <c r="AI77" s="313"/>
      <c r="AJ77" s="313"/>
      <c r="AK77" s="313"/>
      <c r="AL77" s="134"/>
      <c r="AM77" s="437" t="str">
        <f>IF(AI58="該当","！この区分（４項目）から２つ以上の取組が選択されていません。","！この区分（４項目）から１つ以上の取組が選択されていません。")</f>
        <v>！この区分（４項目）から１つ以上の取組が選択されていません。</v>
      </c>
      <c r="AN77" s="436"/>
      <c r="AO77" s="436"/>
      <c r="AP77" s="436"/>
      <c r="AQ77" s="436"/>
      <c r="AR77" s="436"/>
      <c r="AS77" s="436"/>
      <c r="AT77" s="436"/>
      <c r="AU77" s="436"/>
      <c r="AV77" s="436"/>
      <c r="AW77" s="436"/>
      <c r="AX77" s="454"/>
      <c r="AY77" s="134"/>
      <c r="AZ77" s="128"/>
      <c r="BA77" s="470">
        <f>COUNTIF(E77:F80,"✓")+COUNTIF(E77:F80,"誓約")</f>
        <v>0</v>
      </c>
    </row>
    <row r="78" spans="1:54" ht="32.450000000000003" customHeight="1">
      <c r="A78" s="133"/>
      <c r="B78" s="40"/>
      <c r="C78" s="46"/>
      <c r="D78" s="46"/>
      <c r="E78" s="280"/>
      <c r="F78" s="293"/>
      <c r="G78" s="303" t="s">
        <v>100</v>
      </c>
      <c r="H78" s="313"/>
      <c r="I78" s="313"/>
      <c r="J78" s="313"/>
      <c r="K78" s="313"/>
      <c r="L78" s="313"/>
      <c r="M78" s="313"/>
      <c r="N78" s="313"/>
      <c r="O78" s="313"/>
      <c r="P78" s="313"/>
      <c r="Q78" s="313"/>
      <c r="R78" s="313"/>
      <c r="S78" s="313"/>
      <c r="T78" s="313"/>
      <c r="U78" s="313"/>
      <c r="V78" s="313"/>
      <c r="W78" s="313"/>
      <c r="X78" s="313"/>
      <c r="Y78" s="313"/>
      <c r="Z78" s="313"/>
      <c r="AA78" s="313"/>
      <c r="AB78" s="313"/>
      <c r="AC78" s="313"/>
      <c r="AD78" s="313"/>
      <c r="AE78" s="313"/>
      <c r="AF78" s="313"/>
      <c r="AG78" s="313"/>
      <c r="AH78" s="313"/>
      <c r="AI78" s="313"/>
      <c r="AJ78" s="313"/>
      <c r="AK78" s="313"/>
      <c r="AL78" s="133"/>
      <c r="AM78" s="426"/>
      <c r="AN78" s="435"/>
      <c r="AO78" s="435"/>
      <c r="AP78" s="435"/>
      <c r="AQ78" s="435"/>
      <c r="AR78" s="435"/>
      <c r="AS78" s="435"/>
      <c r="AT78" s="435"/>
      <c r="AU78" s="435"/>
      <c r="AV78" s="435"/>
      <c r="AW78" s="435"/>
      <c r="AX78" s="455"/>
      <c r="AY78" s="434"/>
      <c r="AZ78" s="459"/>
      <c r="BA78" s="470"/>
    </row>
    <row r="79" spans="1:54" ht="28.15" customHeight="1">
      <c r="A79" s="133"/>
      <c r="B79" s="40"/>
      <c r="C79" s="46"/>
      <c r="D79" s="46"/>
      <c r="E79" s="280"/>
      <c r="F79" s="293"/>
      <c r="G79" s="303" t="s">
        <v>424</v>
      </c>
      <c r="H79" s="313"/>
      <c r="I79" s="313"/>
      <c r="J79" s="313"/>
      <c r="K79" s="313"/>
      <c r="L79" s="313"/>
      <c r="M79" s="313"/>
      <c r="N79" s="313"/>
      <c r="O79" s="313"/>
      <c r="P79" s="313"/>
      <c r="Q79" s="313"/>
      <c r="R79" s="313"/>
      <c r="S79" s="313"/>
      <c r="T79" s="313"/>
      <c r="U79" s="313"/>
      <c r="V79" s="313"/>
      <c r="W79" s="313"/>
      <c r="X79" s="313"/>
      <c r="Y79" s="313"/>
      <c r="Z79" s="313"/>
      <c r="AA79" s="313"/>
      <c r="AB79" s="313"/>
      <c r="AC79" s="313"/>
      <c r="AD79" s="313"/>
      <c r="AE79" s="313"/>
      <c r="AF79" s="313"/>
      <c r="AG79" s="313"/>
      <c r="AH79" s="313"/>
      <c r="AI79" s="313"/>
      <c r="AJ79" s="313"/>
      <c r="AK79" s="313"/>
      <c r="AL79" s="134"/>
      <c r="AM79" s="434"/>
      <c r="AN79" s="434"/>
      <c r="AO79" s="434"/>
      <c r="AP79" s="434"/>
      <c r="AQ79" s="434"/>
      <c r="AR79" s="434"/>
      <c r="AS79" s="434"/>
      <c r="AT79" s="434"/>
      <c r="AU79" s="434"/>
      <c r="AV79" s="434"/>
      <c r="AW79" s="434"/>
      <c r="AX79" s="434"/>
      <c r="AY79" s="434"/>
      <c r="AZ79" s="459"/>
      <c r="BA79" s="470"/>
    </row>
    <row r="80" spans="1:54" ht="15" customHeight="1">
      <c r="A80" s="133"/>
      <c r="B80" s="179"/>
      <c r="C80" s="228"/>
      <c r="D80" s="228"/>
      <c r="E80" s="280"/>
      <c r="F80" s="293"/>
      <c r="G80" s="303" t="s">
        <v>430</v>
      </c>
      <c r="H80" s="313"/>
      <c r="I80" s="313"/>
      <c r="J80" s="313"/>
      <c r="K80" s="313"/>
      <c r="L80" s="313"/>
      <c r="M80" s="313"/>
      <c r="N80" s="313"/>
      <c r="O80" s="313"/>
      <c r="P80" s="313"/>
      <c r="Q80" s="313"/>
      <c r="R80" s="313"/>
      <c r="S80" s="313"/>
      <c r="T80" s="313"/>
      <c r="U80" s="313"/>
      <c r="V80" s="313"/>
      <c r="W80" s="313"/>
      <c r="X80" s="313"/>
      <c r="Y80" s="313"/>
      <c r="Z80" s="313"/>
      <c r="AA80" s="313"/>
      <c r="AB80" s="313"/>
      <c r="AC80" s="313"/>
      <c r="AD80" s="313"/>
      <c r="AE80" s="313"/>
      <c r="AF80" s="313"/>
      <c r="AG80" s="313"/>
      <c r="AH80" s="313"/>
      <c r="AI80" s="313"/>
      <c r="AJ80" s="313"/>
      <c r="AK80" s="313"/>
      <c r="AL80" s="134"/>
      <c r="AM80" s="434"/>
      <c r="AN80" s="434"/>
      <c r="AO80" s="434"/>
      <c r="AP80" s="434"/>
      <c r="AQ80" s="434"/>
      <c r="AR80" s="434"/>
      <c r="AS80" s="434"/>
      <c r="AT80" s="434"/>
      <c r="AU80" s="434"/>
      <c r="AV80" s="434"/>
      <c r="AW80" s="434"/>
      <c r="AX80" s="434"/>
      <c r="AY80" s="134"/>
      <c r="AZ80" s="128"/>
      <c r="BA80" s="470"/>
    </row>
    <row r="81" spans="1:53" ht="28.15" customHeight="1">
      <c r="A81" s="133"/>
      <c r="B81" s="39" t="s">
        <v>421</v>
      </c>
      <c r="C81" s="45"/>
      <c r="D81" s="262"/>
      <c r="E81" s="279"/>
      <c r="F81" s="292"/>
      <c r="G81" s="303" t="s">
        <v>432</v>
      </c>
      <c r="H81" s="313"/>
      <c r="I81" s="313"/>
      <c r="J81" s="313"/>
      <c r="K81" s="313"/>
      <c r="L81" s="313"/>
      <c r="M81" s="313"/>
      <c r="N81" s="313"/>
      <c r="O81" s="313"/>
      <c r="P81" s="313"/>
      <c r="Q81" s="313"/>
      <c r="R81" s="313"/>
      <c r="S81" s="313"/>
      <c r="T81" s="313"/>
      <c r="U81" s="313"/>
      <c r="V81" s="313"/>
      <c r="W81" s="313"/>
      <c r="X81" s="313"/>
      <c r="Y81" s="313"/>
      <c r="Z81" s="313"/>
      <c r="AA81" s="313"/>
      <c r="AB81" s="313"/>
      <c r="AC81" s="313"/>
      <c r="AD81" s="313"/>
      <c r="AE81" s="313"/>
      <c r="AF81" s="313"/>
      <c r="AG81" s="313"/>
      <c r="AH81" s="313"/>
      <c r="AI81" s="313"/>
      <c r="AJ81" s="313"/>
      <c r="AK81" s="313"/>
      <c r="AL81" s="134"/>
      <c r="AM81" s="438" t="str">
        <f>IF(AND(AI58="該当",AND(E81="",E82="")),"！⑰又は⑱の取組は必須です。","")</f>
        <v/>
      </c>
      <c r="AN81" s="443"/>
      <c r="AO81" s="443"/>
      <c r="AP81" s="443"/>
      <c r="AQ81" s="443"/>
      <c r="AR81" s="443"/>
      <c r="AS81" s="443"/>
      <c r="AT81" s="443"/>
      <c r="AU81" s="443"/>
      <c r="AV81" s="443"/>
      <c r="AW81" s="443"/>
      <c r="AX81" s="456"/>
      <c r="AY81" s="134"/>
      <c r="AZ81" s="128"/>
      <c r="BA81" s="471">
        <f>COUNTIF(E81:F87,"✓")+COUNTIF(E81:F87,"誓約")+IF(COUNTIF(E88:F89,"✓")+COUNTIF(E88:F89,"誓約")&gt;0,1,0)</f>
        <v>0</v>
      </c>
    </row>
    <row r="82" spans="1:53" ht="15" customHeight="1">
      <c r="A82" s="133"/>
      <c r="B82" s="40"/>
      <c r="C82" s="46"/>
      <c r="D82" s="263"/>
      <c r="E82" s="280"/>
      <c r="F82" s="293"/>
      <c r="G82" s="303" t="s">
        <v>434</v>
      </c>
      <c r="H82" s="313"/>
      <c r="I82" s="313"/>
      <c r="J82" s="313"/>
      <c r="K82" s="313"/>
      <c r="L82" s="313"/>
      <c r="M82" s="313"/>
      <c r="N82" s="313"/>
      <c r="O82" s="313"/>
      <c r="P82" s="313"/>
      <c r="Q82" s="313"/>
      <c r="R82" s="313"/>
      <c r="S82" s="313"/>
      <c r="T82" s="313"/>
      <c r="U82" s="313"/>
      <c r="V82" s="313"/>
      <c r="W82" s="313"/>
      <c r="X82" s="313"/>
      <c r="Y82" s="313"/>
      <c r="Z82" s="313"/>
      <c r="AA82" s="313"/>
      <c r="AB82" s="313"/>
      <c r="AC82" s="313"/>
      <c r="AD82" s="313"/>
      <c r="AE82" s="313"/>
      <c r="AF82" s="313"/>
      <c r="AG82" s="313"/>
      <c r="AH82" s="313"/>
      <c r="AI82" s="313"/>
      <c r="AJ82" s="313"/>
      <c r="AK82" s="313"/>
      <c r="AL82" s="134"/>
      <c r="AM82" s="434"/>
      <c r="AN82" s="434"/>
      <c r="AO82" s="434"/>
      <c r="AP82" s="434"/>
      <c r="AQ82" s="434"/>
      <c r="AR82" s="434"/>
      <c r="AS82" s="434"/>
      <c r="AT82" s="434"/>
      <c r="AU82" s="434"/>
      <c r="AV82" s="434"/>
      <c r="AW82" s="434"/>
      <c r="AX82" s="434"/>
      <c r="AY82" s="434"/>
      <c r="AZ82" s="459"/>
      <c r="BA82" s="472"/>
    </row>
    <row r="83" spans="1:53" ht="26.45" customHeight="1">
      <c r="A83" s="133"/>
      <c r="B83" s="40"/>
      <c r="C83" s="46"/>
      <c r="D83" s="263"/>
      <c r="E83" s="280"/>
      <c r="F83" s="293"/>
      <c r="G83" s="303" t="s">
        <v>437</v>
      </c>
      <c r="H83" s="313"/>
      <c r="I83" s="313"/>
      <c r="J83" s="313"/>
      <c r="K83" s="313"/>
      <c r="L83" s="313"/>
      <c r="M83" s="313"/>
      <c r="N83" s="313"/>
      <c r="O83" s="313"/>
      <c r="P83" s="313"/>
      <c r="Q83" s="313"/>
      <c r="R83" s="313"/>
      <c r="S83" s="313"/>
      <c r="T83" s="313"/>
      <c r="U83" s="313"/>
      <c r="V83" s="313"/>
      <c r="W83" s="313"/>
      <c r="X83" s="313"/>
      <c r="Y83" s="313"/>
      <c r="Z83" s="313"/>
      <c r="AA83" s="313"/>
      <c r="AB83" s="313"/>
      <c r="AC83" s="313"/>
      <c r="AD83" s="313"/>
      <c r="AE83" s="313"/>
      <c r="AF83" s="313"/>
      <c r="AG83" s="313"/>
      <c r="AH83" s="313"/>
      <c r="AI83" s="313"/>
      <c r="AJ83" s="313"/>
      <c r="AK83" s="313"/>
      <c r="AL83" s="134"/>
      <c r="AM83" s="425" t="str">
        <f>IF(AI58="該当","！この区分（８項目）から３つ以上の取組が選択されていません。","！この区分（４項目）から２つ以上の取組が選択されていません。")</f>
        <v>！この区分（４項目）から２つ以上の取組が選択されていません。</v>
      </c>
      <c r="AN83" s="436"/>
      <c r="AO83" s="436"/>
      <c r="AP83" s="436"/>
      <c r="AQ83" s="436"/>
      <c r="AR83" s="436"/>
      <c r="AS83" s="436"/>
      <c r="AT83" s="436"/>
      <c r="AU83" s="436"/>
      <c r="AV83" s="436"/>
      <c r="AW83" s="436"/>
      <c r="AX83" s="454"/>
      <c r="AY83" s="434"/>
      <c r="AZ83" s="459"/>
      <c r="BA83" s="472"/>
    </row>
    <row r="84" spans="1:53" ht="15" customHeight="1">
      <c r="A84" s="133"/>
      <c r="B84" s="40"/>
      <c r="C84" s="46"/>
      <c r="D84" s="263"/>
      <c r="E84" s="280"/>
      <c r="F84" s="293"/>
      <c r="G84" s="303" t="s">
        <v>442</v>
      </c>
      <c r="H84" s="313"/>
      <c r="I84" s="313"/>
      <c r="J84" s="313"/>
      <c r="K84" s="313"/>
      <c r="L84" s="313"/>
      <c r="M84" s="313"/>
      <c r="N84" s="313"/>
      <c r="O84" s="313"/>
      <c r="P84" s="313"/>
      <c r="Q84" s="313"/>
      <c r="R84" s="313"/>
      <c r="S84" s="313"/>
      <c r="T84" s="313"/>
      <c r="U84" s="313"/>
      <c r="V84" s="313"/>
      <c r="W84" s="313"/>
      <c r="X84" s="313"/>
      <c r="Y84" s="313"/>
      <c r="Z84" s="313"/>
      <c r="AA84" s="313"/>
      <c r="AB84" s="313"/>
      <c r="AC84" s="313"/>
      <c r="AD84" s="313"/>
      <c r="AE84" s="313"/>
      <c r="AF84" s="313"/>
      <c r="AG84" s="313"/>
      <c r="AH84" s="313"/>
      <c r="AI84" s="313"/>
      <c r="AJ84" s="313"/>
      <c r="AK84" s="313"/>
      <c r="AL84" s="134"/>
      <c r="AM84" s="426"/>
      <c r="AN84" s="435"/>
      <c r="AO84" s="435"/>
      <c r="AP84" s="435"/>
      <c r="AQ84" s="435"/>
      <c r="AR84" s="435"/>
      <c r="AS84" s="435"/>
      <c r="AT84" s="435"/>
      <c r="AU84" s="435"/>
      <c r="AV84" s="435"/>
      <c r="AW84" s="435"/>
      <c r="AX84" s="455"/>
      <c r="AY84" s="134"/>
      <c r="AZ84" s="128"/>
      <c r="BA84" s="472"/>
    </row>
    <row r="85" spans="1:53" ht="27.6" customHeight="1">
      <c r="A85" s="133"/>
      <c r="B85" s="40"/>
      <c r="C85" s="46"/>
      <c r="D85" s="263"/>
      <c r="E85" s="280"/>
      <c r="F85" s="293"/>
      <c r="G85" s="303" t="s">
        <v>444</v>
      </c>
      <c r="H85" s="313"/>
      <c r="I85" s="313"/>
      <c r="J85" s="313"/>
      <c r="K85" s="313"/>
      <c r="L85" s="313"/>
      <c r="M85" s="313"/>
      <c r="N85" s="313"/>
      <c r="O85" s="313"/>
      <c r="P85" s="313"/>
      <c r="Q85" s="313"/>
      <c r="R85" s="313"/>
      <c r="S85" s="313"/>
      <c r="T85" s="313"/>
      <c r="U85" s="313"/>
      <c r="V85" s="313"/>
      <c r="W85" s="313"/>
      <c r="X85" s="313"/>
      <c r="Y85" s="313"/>
      <c r="Z85" s="313"/>
      <c r="AA85" s="313"/>
      <c r="AB85" s="313"/>
      <c r="AC85" s="313"/>
      <c r="AD85" s="313"/>
      <c r="AE85" s="313"/>
      <c r="AF85" s="313"/>
      <c r="AG85" s="313"/>
      <c r="AH85" s="313"/>
      <c r="AI85" s="313"/>
      <c r="AJ85" s="313"/>
      <c r="AK85" s="313"/>
      <c r="AL85" s="134"/>
      <c r="AM85" s="434"/>
      <c r="AN85" s="434"/>
      <c r="AO85" s="434"/>
      <c r="AP85" s="434"/>
      <c r="AQ85" s="434"/>
      <c r="AR85" s="434"/>
      <c r="AS85" s="434"/>
      <c r="AT85" s="434"/>
      <c r="AU85" s="434"/>
      <c r="AV85" s="434"/>
      <c r="AW85" s="434"/>
      <c r="AX85" s="434"/>
      <c r="AY85" s="434"/>
      <c r="AZ85" s="459"/>
      <c r="BA85" s="472"/>
    </row>
    <row r="86" spans="1:53" ht="28.15" customHeight="1">
      <c r="A86" s="133"/>
      <c r="B86" s="40"/>
      <c r="C86" s="46"/>
      <c r="D86" s="263"/>
      <c r="E86" s="280"/>
      <c r="F86" s="293"/>
      <c r="G86" s="303" t="s">
        <v>445</v>
      </c>
      <c r="H86" s="313"/>
      <c r="I86" s="313"/>
      <c r="J86" s="313"/>
      <c r="K86" s="313"/>
      <c r="L86" s="313"/>
      <c r="M86" s="313"/>
      <c r="N86" s="313"/>
      <c r="O86" s="313"/>
      <c r="P86" s="313"/>
      <c r="Q86" s="313"/>
      <c r="R86" s="313"/>
      <c r="S86" s="313"/>
      <c r="T86" s="313"/>
      <c r="U86" s="313"/>
      <c r="V86" s="313"/>
      <c r="W86" s="313"/>
      <c r="X86" s="313"/>
      <c r="Y86" s="313"/>
      <c r="Z86" s="313"/>
      <c r="AA86" s="313"/>
      <c r="AB86" s="313"/>
      <c r="AC86" s="313"/>
      <c r="AD86" s="313"/>
      <c r="AE86" s="313"/>
      <c r="AF86" s="313"/>
      <c r="AG86" s="313"/>
      <c r="AH86" s="313"/>
      <c r="AI86" s="313"/>
      <c r="AJ86" s="313"/>
      <c r="AK86" s="313"/>
      <c r="AL86" s="134"/>
      <c r="AM86" s="434"/>
      <c r="AN86" s="434"/>
      <c r="AO86" s="434"/>
      <c r="AP86" s="434"/>
      <c r="AQ86" s="434"/>
      <c r="AR86" s="434"/>
      <c r="AS86" s="434"/>
      <c r="AT86" s="434"/>
      <c r="AU86" s="434"/>
      <c r="AV86" s="434"/>
      <c r="AX86" s="434"/>
      <c r="AY86" s="434"/>
      <c r="AZ86" s="459"/>
      <c r="BA86" s="472"/>
    </row>
    <row r="87" spans="1:53" ht="46.9" customHeight="1">
      <c r="A87" s="133"/>
      <c r="B87" s="40"/>
      <c r="C87" s="46"/>
      <c r="D87" s="263"/>
      <c r="E87" s="280"/>
      <c r="F87" s="293"/>
      <c r="G87" s="303" t="s">
        <v>447</v>
      </c>
      <c r="H87" s="313"/>
      <c r="I87" s="313"/>
      <c r="J87" s="313"/>
      <c r="K87" s="313"/>
      <c r="L87" s="313"/>
      <c r="M87" s="313"/>
      <c r="N87" s="313"/>
      <c r="O87" s="313"/>
      <c r="P87" s="313"/>
      <c r="Q87" s="313"/>
      <c r="R87" s="313"/>
      <c r="S87" s="313"/>
      <c r="T87" s="313"/>
      <c r="U87" s="313"/>
      <c r="V87" s="313"/>
      <c r="W87" s="313"/>
      <c r="X87" s="313"/>
      <c r="Y87" s="313"/>
      <c r="Z87" s="313"/>
      <c r="AA87" s="313"/>
      <c r="AB87" s="313"/>
      <c r="AC87" s="313"/>
      <c r="AD87" s="313"/>
      <c r="AE87" s="313"/>
      <c r="AF87" s="313"/>
      <c r="AG87" s="313"/>
      <c r="AH87" s="313"/>
      <c r="AI87" s="313"/>
      <c r="AJ87" s="313"/>
      <c r="AK87" s="313"/>
      <c r="AL87" s="134"/>
      <c r="AM87" s="434"/>
      <c r="AN87" s="434"/>
      <c r="AO87" s="434"/>
      <c r="AP87" s="434"/>
      <c r="AQ87" s="434"/>
      <c r="AR87" s="434"/>
      <c r="AS87" s="434"/>
      <c r="AT87" s="434"/>
      <c r="AU87" s="434"/>
      <c r="AV87" s="434"/>
      <c r="AW87" s="434"/>
      <c r="AX87" s="434"/>
      <c r="AY87" s="134"/>
      <c r="AZ87" s="128"/>
      <c r="BA87" s="472"/>
    </row>
    <row r="88" spans="1:53" ht="42.6" customHeight="1">
      <c r="A88" s="133"/>
      <c r="B88" s="40"/>
      <c r="C88" s="46"/>
      <c r="D88" s="263"/>
      <c r="E88" s="280"/>
      <c r="F88" s="293"/>
      <c r="G88" s="303" t="s">
        <v>453</v>
      </c>
      <c r="H88" s="313"/>
      <c r="I88" s="313"/>
      <c r="J88" s="313"/>
      <c r="K88" s="313"/>
      <c r="L88" s="313"/>
      <c r="M88" s="313"/>
      <c r="N88" s="313"/>
      <c r="O88" s="313"/>
      <c r="P88" s="313"/>
      <c r="Q88" s="313"/>
      <c r="R88" s="313"/>
      <c r="S88" s="313"/>
      <c r="T88" s="313"/>
      <c r="U88" s="313"/>
      <c r="V88" s="313"/>
      <c r="W88" s="313"/>
      <c r="X88" s="313"/>
      <c r="Y88" s="313"/>
      <c r="Z88" s="313"/>
      <c r="AA88" s="313"/>
      <c r="AB88" s="313"/>
      <c r="AC88" s="313"/>
      <c r="AD88" s="313"/>
      <c r="AE88" s="313"/>
      <c r="AF88" s="313"/>
      <c r="AG88" s="313"/>
      <c r="AH88" s="313"/>
      <c r="AI88" s="313"/>
      <c r="AJ88" s="313"/>
      <c r="AK88" s="313"/>
      <c r="AL88" s="134"/>
      <c r="AM88" s="434"/>
      <c r="AN88" s="434"/>
      <c r="AO88" s="434"/>
      <c r="AP88" s="434"/>
      <c r="AQ88" s="434"/>
      <c r="AR88" s="434"/>
      <c r="AS88" s="434"/>
      <c r="AT88" s="434"/>
      <c r="AU88" s="434"/>
      <c r="AV88" s="434"/>
      <c r="AW88" s="434"/>
      <c r="AX88" s="434"/>
      <c r="AY88" s="134"/>
      <c r="AZ88" s="128"/>
      <c r="BA88" s="472"/>
    </row>
    <row r="89" spans="1:53" ht="28.15" customHeight="1">
      <c r="A89" s="133"/>
      <c r="B89" s="179"/>
      <c r="C89" s="228"/>
      <c r="D89" s="264"/>
      <c r="E89" s="284"/>
      <c r="F89" s="297"/>
      <c r="G89" s="304" t="s">
        <v>455</v>
      </c>
      <c r="H89" s="314"/>
      <c r="I89" s="314"/>
      <c r="J89" s="314"/>
      <c r="K89" s="314"/>
      <c r="L89" s="314"/>
      <c r="M89" s="314"/>
      <c r="N89" s="314"/>
      <c r="O89" s="314"/>
      <c r="P89" s="314"/>
      <c r="Q89" s="314"/>
      <c r="R89" s="314"/>
      <c r="S89" s="314"/>
      <c r="T89" s="314"/>
      <c r="U89" s="314"/>
      <c r="V89" s="314"/>
      <c r="W89" s="314"/>
      <c r="X89" s="314"/>
      <c r="Y89" s="314"/>
      <c r="Z89" s="314"/>
      <c r="AA89" s="314"/>
      <c r="AB89" s="314"/>
      <c r="AC89" s="314"/>
      <c r="AD89" s="314"/>
      <c r="AE89" s="314"/>
      <c r="AF89" s="314"/>
      <c r="AG89" s="314"/>
      <c r="AH89" s="314"/>
      <c r="AI89" s="314"/>
      <c r="AJ89" s="314"/>
      <c r="AK89" s="314"/>
      <c r="AL89" s="134"/>
      <c r="AM89" s="434"/>
      <c r="AN89" s="434"/>
      <c r="AO89" s="434"/>
      <c r="AP89" s="434"/>
      <c r="AQ89" s="434"/>
      <c r="AR89" s="434"/>
      <c r="AS89" s="434"/>
      <c r="AT89" s="434"/>
      <c r="AU89" s="434"/>
      <c r="AV89" s="434"/>
      <c r="AW89" s="434"/>
      <c r="AX89" s="434"/>
      <c r="AY89" s="134"/>
      <c r="AZ89" s="128"/>
      <c r="BA89" s="473"/>
    </row>
    <row r="90" spans="1:53" ht="24" customHeight="1">
      <c r="A90" s="133"/>
      <c r="B90" s="39" t="s">
        <v>38</v>
      </c>
      <c r="C90" s="45"/>
      <c r="D90" s="45"/>
      <c r="E90" s="279"/>
      <c r="F90" s="292"/>
      <c r="G90" s="303" t="s">
        <v>460</v>
      </c>
      <c r="H90" s="313"/>
      <c r="I90" s="313"/>
      <c r="J90" s="313"/>
      <c r="K90" s="313"/>
      <c r="L90" s="313"/>
      <c r="M90" s="313"/>
      <c r="N90" s="313"/>
      <c r="O90" s="313"/>
      <c r="P90" s="313"/>
      <c r="Q90" s="313"/>
      <c r="R90" s="313"/>
      <c r="S90" s="313"/>
      <c r="T90" s="313"/>
      <c r="U90" s="313"/>
      <c r="V90" s="313"/>
      <c r="W90" s="313"/>
      <c r="X90" s="313"/>
      <c r="Y90" s="313"/>
      <c r="Z90" s="313"/>
      <c r="AA90" s="313"/>
      <c r="AB90" s="313"/>
      <c r="AC90" s="313"/>
      <c r="AD90" s="313"/>
      <c r="AE90" s="313"/>
      <c r="AF90" s="313"/>
      <c r="AG90" s="313"/>
      <c r="AH90" s="313"/>
      <c r="AI90" s="313"/>
      <c r="AJ90" s="313"/>
      <c r="AK90" s="313"/>
      <c r="AL90" s="136"/>
      <c r="AM90" s="425" t="str">
        <f>IF(AI58="該当","！この区分（４項目）から２つ以上の取組が選択されていません。","！この区分（４項目）から１つ以上の取組が選択されていません。")</f>
        <v>！この区分（４項目）から１つ以上の取組が選択されていません。</v>
      </c>
      <c r="AN90" s="436"/>
      <c r="AO90" s="436"/>
      <c r="AP90" s="436"/>
      <c r="AQ90" s="436"/>
      <c r="AR90" s="436"/>
      <c r="AS90" s="436"/>
      <c r="AT90" s="436"/>
      <c r="AU90" s="436"/>
      <c r="AV90" s="436"/>
      <c r="AW90" s="436"/>
      <c r="AX90" s="454"/>
      <c r="AY90" s="134"/>
      <c r="AZ90" s="128"/>
      <c r="BA90" s="470">
        <f>COUNTIF(E90:F93,"✓")+COUNTIF(E90:F93,"誓約")</f>
        <v>0</v>
      </c>
    </row>
    <row r="91" spans="1:53" ht="15" customHeight="1">
      <c r="A91" s="133"/>
      <c r="B91" s="40"/>
      <c r="C91" s="46"/>
      <c r="D91" s="46"/>
      <c r="E91" s="280"/>
      <c r="F91" s="293"/>
      <c r="G91" s="303" t="s">
        <v>463</v>
      </c>
      <c r="H91" s="313"/>
      <c r="I91" s="313"/>
      <c r="J91" s="313"/>
      <c r="K91" s="313"/>
      <c r="L91" s="313"/>
      <c r="M91" s="313"/>
      <c r="N91" s="313"/>
      <c r="O91" s="313"/>
      <c r="P91" s="313"/>
      <c r="Q91" s="313"/>
      <c r="R91" s="313"/>
      <c r="S91" s="313"/>
      <c r="T91" s="313"/>
      <c r="U91" s="313"/>
      <c r="V91" s="313"/>
      <c r="W91" s="313"/>
      <c r="X91" s="313"/>
      <c r="Y91" s="313"/>
      <c r="Z91" s="313"/>
      <c r="AA91" s="313"/>
      <c r="AB91" s="313"/>
      <c r="AC91" s="313"/>
      <c r="AD91" s="313"/>
      <c r="AE91" s="313"/>
      <c r="AF91" s="313"/>
      <c r="AG91" s="313"/>
      <c r="AH91" s="313"/>
      <c r="AI91" s="313"/>
      <c r="AJ91" s="313"/>
      <c r="AK91" s="313"/>
      <c r="AL91" s="134"/>
      <c r="AM91" s="426"/>
      <c r="AN91" s="435"/>
      <c r="AO91" s="435"/>
      <c r="AP91" s="435"/>
      <c r="AQ91" s="435"/>
      <c r="AR91" s="435"/>
      <c r="AS91" s="435"/>
      <c r="AT91" s="435"/>
      <c r="AU91" s="435"/>
      <c r="AV91" s="435"/>
      <c r="AW91" s="435"/>
      <c r="AX91" s="455"/>
      <c r="AY91" s="434"/>
      <c r="AZ91" s="459"/>
      <c r="BA91" s="470"/>
    </row>
    <row r="92" spans="1:53" ht="15" customHeight="1">
      <c r="A92" s="133"/>
      <c r="B92" s="40"/>
      <c r="C92" s="46"/>
      <c r="D92" s="46"/>
      <c r="E92" s="280"/>
      <c r="F92" s="293"/>
      <c r="G92" s="303" t="s">
        <v>197</v>
      </c>
      <c r="H92" s="313"/>
      <c r="I92" s="313"/>
      <c r="J92" s="313"/>
      <c r="K92" s="313"/>
      <c r="L92" s="313"/>
      <c r="M92" s="313"/>
      <c r="N92" s="313"/>
      <c r="O92" s="313"/>
      <c r="P92" s="313"/>
      <c r="Q92" s="313"/>
      <c r="R92" s="313"/>
      <c r="S92" s="313"/>
      <c r="T92" s="313"/>
      <c r="U92" s="313"/>
      <c r="V92" s="313"/>
      <c r="W92" s="313"/>
      <c r="X92" s="313"/>
      <c r="Y92" s="313"/>
      <c r="Z92" s="313"/>
      <c r="AA92" s="313"/>
      <c r="AB92" s="313"/>
      <c r="AC92" s="313"/>
      <c r="AD92" s="313"/>
      <c r="AE92" s="313"/>
      <c r="AF92" s="313"/>
      <c r="AG92" s="313"/>
      <c r="AH92" s="313"/>
      <c r="AI92" s="313"/>
      <c r="AJ92" s="313"/>
      <c r="AK92" s="313"/>
      <c r="AL92" s="134"/>
      <c r="AM92" s="428"/>
      <c r="AN92" s="428"/>
      <c r="AO92" s="428"/>
      <c r="AP92" s="428"/>
      <c r="AQ92" s="428"/>
      <c r="AR92" s="428"/>
      <c r="AS92" s="428"/>
      <c r="AT92" s="428"/>
      <c r="AU92" s="428"/>
      <c r="AV92" s="428"/>
      <c r="AW92" s="428"/>
      <c r="AX92" s="428"/>
      <c r="AY92" s="434"/>
      <c r="AZ92" s="459"/>
      <c r="BA92" s="470"/>
    </row>
    <row r="93" spans="1:53" ht="15" customHeight="1">
      <c r="A93" s="133"/>
      <c r="B93" s="179"/>
      <c r="C93" s="228"/>
      <c r="D93" s="228"/>
      <c r="E93" s="284"/>
      <c r="F93" s="297"/>
      <c r="G93" s="303" t="s">
        <v>465</v>
      </c>
      <c r="H93" s="313"/>
      <c r="I93" s="313"/>
      <c r="J93" s="313"/>
      <c r="K93" s="313"/>
      <c r="L93" s="313"/>
      <c r="M93" s="313"/>
      <c r="N93" s="313"/>
      <c r="O93" s="313"/>
      <c r="P93" s="313"/>
      <c r="Q93" s="313"/>
      <c r="R93" s="313"/>
      <c r="S93" s="313"/>
      <c r="T93" s="313"/>
      <c r="U93" s="313"/>
      <c r="V93" s="313"/>
      <c r="W93" s="313"/>
      <c r="X93" s="313"/>
      <c r="Y93" s="313"/>
      <c r="Z93" s="313"/>
      <c r="AA93" s="313"/>
      <c r="AB93" s="313"/>
      <c r="AC93" s="313"/>
      <c r="AD93" s="313"/>
      <c r="AE93" s="313"/>
      <c r="AF93" s="313"/>
      <c r="AG93" s="313"/>
      <c r="AH93" s="313"/>
      <c r="AI93" s="313"/>
      <c r="AJ93" s="313"/>
      <c r="AK93" s="313"/>
      <c r="AL93" s="133"/>
      <c r="AM93" s="428"/>
      <c r="AN93" s="428"/>
      <c r="AO93" s="428"/>
      <c r="AP93" s="428"/>
      <c r="AQ93" s="428"/>
      <c r="AR93" s="428"/>
      <c r="AS93" s="428"/>
      <c r="AT93" s="428"/>
      <c r="AU93" s="428"/>
      <c r="AV93" s="428"/>
      <c r="AW93" s="428"/>
      <c r="AX93" s="428"/>
      <c r="AY93" s="133"/>
      <c r="BA93" s="470"/>
    </row>
    <row r="94" spans="1:53" ht="6" customHeight="1">
      <c r="A94" s="133"/>
      <c r="B94" s="173"/>
      <c r="C94" s="173"/>
      <c r="D94" s="173"/>
      <c r="E94" s="173"/>
      <c r="F94" s="173"/>
      <c r="G94" s="137"/>
      <c r="H94" s="137"/>
      <c r="I94" s="137"/>
      <c r="J94" s="137"/>
      <c r="K94" s="137"/>
      <c r="L94" s="137"/>
      <c r="M94" s="137"/>
      <c r="N94" s="137"/>
      <c r="O94" s="137"/>
      <c r="P94" s="137"/>
      <c r="Q94" s="137"/>
      <c r="R94" s="137"/>
      <c r="S94" s="137"/>
      <c r="T94" s="137"/>
      <c r="U94" s="137"/>
      <c r="V94" s="137"/>
      <c r="W94" s="137"/>
      <c r="X94" s="137"/>
      <c r="Y94" s="137"/>
      <c r="Z94" s="137"/>
      <c r="AA94" s="137"/>
      <c r="AB94" s="137"/>
      <c r="AC94" s="137"/>
      <c r="AD94" s="137"/>
      <c r="AE94" s="137"/>
      <c r="AF94" s="137"/>
      <c r="AG94" s="137"/>
      <c r="AH94" s="137"/>
      <c r="AI94" s="137"/>
      <c r="AJ94" s="137"/>
      <c r="AK94" s="137"/>
      <c r="AL94" s="133"/>
      <c r="AM94" s="439"/>
      <c r="AN94" s="134"/>
      <c r="AO94" s="136"/>
      <c r="AP94" s="136"/>
      <c r="AQ94" s="136"/>
      <c r="AR94" s="136"/>
      <c r="AS94" s="136"/>
      <c r="AT94" s="136"/>
      <c r="AU94" s="136"/>
      <c r="AV94" s="136"/>
      <c r="AW94" s="136"/>
      <c r="AX94" s="136"/>
      <c r="AY94" s="136"/>
      <c r="AZ94" s="130"/>
    </row>
    <row r="95" spans="1:53" s="128" customFormat="1" ht="17.45" customHeight="1">
      <c r="A95" s="136"/>
      <c r="B95" s="180" t="s">
        <v>467</v>
      </c>
      <c r="C95" s="229"/>
      <c r="D95" s="229"/>
      <c r="E95" s="229"/>
      <c r="F95" s="229"/>
      <c r="G95" s="229"/>
      <c r="H95" s="229"/>
      <c r="I95" s="229"/>
      <c r="J95" s="229"/>
      <c r="K95" s="229"/>
      <c r="L95" s="229"/>
      <c r="M95" s="229"/>
      <c r="N95" s="229"/>
      <c r="O95" s="229"/>
      <c r="P95" s="229"/>
      <c r="Q95" s="229"/>
      <c r="R95" s="229"/>
      <c r="S95" s="229"/>
      <c r="T95" s="229"/>
      <c r="U95" s="229"/>
      <c r="V95" s="229"/>
      <c r="W95" s="229"/>
      <c r="X95" s="229"/>
      <c r="Y95" s="229"/>
      <c r="Z95" s="229"/>
      <c r="AA95" s="229"/>
      <c r="AB95" s="229"/>
      <c r="AC95" s="229"/>
      <c r="AD95" s="229"/>
      <c r="AE95" s="229"/>
      <c r="AF95" s="229"/>
      <c r="AG95" s="229"/>
      <c r="AH95" s="229"/>
      <c r="AI95" s="229"/>
      <c r="AJ95" s="229"/>
      <c r="AK95" s="229"/>
      <c r="AL95" s="134"/>
      <c r="AM95" s="136"/>
      <c r="AN95" s="444"/>
      <c r="AO95" s="447"/>
      <c r="AP95" s="447"/>
      <c r="AQ95" s="447"/>
      <c r="AR95" s="447"/>
      <c r="AS95" s="447"/>
      <c r="AT95" s="447"/>
      <c r="AU95" s="447"/>
      <c r="AV95" s="447"/>
      <c r="AW95" s="447"/>
      <c r="AX95" s="447"/>
      <c r="AY95" s="447"/>
      <c r="AZ95" s="129"/>
    </row>
    <row r="96" spans="1:53" s="129" customFormat="1" ht="18.600000000000001" customHeight="1">
      <c r="A96" s="136"/>
      <c r="B96" s="181" t="s">
        <v>206</v>
      </c>
      <c r="C96" s="159" t="s">
        <v>472</v>
      </c>
      <c r="D96" s="159"/>
      <c r="E96" s="159"/>
      <c r="F96" s="159"/>
      <c r="G96" s="159"/>
      <c r="H96" s="159"/>
      <c r="I96" s="159"/>
      <c r="J96" s="159"/>
      <c r="K96" s="159"/>
      <c r="L96" s="159"/>
      <c r="M96" s="159"/>
      <c r="N96" s="159"/>
      <c r="O96" s="159"/>
      <c r="P96" s="159"/>
      <c r="Q96" s="159"/>
      <c r="R96" s="159"/>
      <c r="S96" s="159"/>
      <c r="T96" s="159"/>
      <c r="U96" s="159"/>
      <c r="V96" s="159"/>
      <c r="W96" s="159"/>
      <c r="X96" s="159"/>
      <c r="Y96" s="159"/>
      <c r="Z96" s="159"/>
      <c r="AA96" s="159"/>
      <c r="AB96" s="159"/>
      <c r="AC96" s="159"/>
      <c r="AD96" s="159"/>
      <c r="AE96" s="159"/>
      <c r="AF96" s="159"/>
      <c r="AG96" s="159"/>
      <c r="AH96" s="159"/>
      <c r="AI96" s="159"/>
      <c r="AJ96" s="378"/>
      <c r="AK96" s="356" t="str">
        <f>IF(AND($BA40=0,$BE40=0),"",IF($AI58="該当",IF(COUNTIF($F97:$F98,"✓")&gt;0,"○","×"),"×"))</f>
        <v/>
      </c>
      <c r="AL96" s="133"/>
      <c r="AY96" s="130"/>
    </row>
    <row r="97" spans="1:56" s="130" customFormat="1" ht="29.25" customHeight="1">
      <c r="A97" s="136"/>
      <c r="B97" s="182" t="s">
        <v>477</v>
      </c>
      <c r="C97" s="230"/>
      <c r="D97" s="230"/>
      <c r="E97" s="285" t="b">
        <v>0</v>
      </c>
      <c r="F97" s="298"/>
      <c r="G97" s="305" t="s">
        <v>478</v>
      </c>
      <c r="H97" s="305"/>
      <c r="I97" s="305"/>
      <c r="J97" s="305"/>
      <c r="K97" s="305"/>
      <c r="L97" s="305"/>
      <c r="M97" s="305"/>
      <c r="N97" s="305"/>
      <c r="O97" s="305"/>
      <c r="P97" s="305"/>
      <c r="Q97" s="305"/>
      <c r="R97" s="305"/>
      <c r="S97" s="305"/>
      <c r="T97" s="305"/>
      <c r="U97" s="305"/>
      <c r="V97" s="305"/>
      <c r="W97" s="305"/>
      <c r="X97" s="305"/>
      <c r="Y97" s="305"/>
      <c r="Z97" s="305"/>
      <c r="AA97" s="305"/>
      <c r="AB97" s="305"/>
      <c r="AC97" s="305"/>
      <c r="AD97" s="305"/>
      <c r="AE97" s="305"/>
      <c r="AF97" s="305"/>
      <c r="AG97" s="305"/>
      <c r="AH97" s="305"/>
      <c r="AI97" s="305"/>
      <c r="AJ97" s="305"/>
      <c r="AK97" s="408"/>
      <c r="AL97" s="134"/>
      <c r="AM97" s="425" t="s">
        <v>55</v>
      </c>
      <c r="AN97" s="436"/>
      <c r="AO97" s="436"/>
      <c r="AP97" s="436"/>
      <c r="AQ97" s="436"/>
      <c r="AR97" s="436"/>
      <c r="AS97" s="436"/>
      <c r="AT97" s="436"/>
      <c r="AU97" s="436"/>
      <c r="AV97" s="436"/>
      <c r="AW97" s="436"/>
      <c r="AX97" s="454"/>
    </row>
    <row r="98" spans="1:56" s="130" customFormat="1" ht="29.25" customHeight="1">
      <c r="A98" s="136"/>
      <c r="B98" s="183"/>
      <c r="C98" s="231"/>
      <c r="D98" s="231"/>
      <c r="E98" s="286" t="b">
        <v>0</v>
      </c>
      <c r="F98" s="299"/>
      <c r="G98" s="306" t="s">
        <v>484</v>
      </c>
      <c r="H98" s="306"/>
      <c r="I98" s="306"/>
      <c r="J98" s="306"/>
      <c r="K98" s="306"/>
      <c r="L98" s="306"/>
      <c r="M98" s="306"/>
      <c r="N98" s="306"/>
      <c r="O98" s="306"/>
      <c r="P98" s="306"/>
      <c r="Q98" s="306"/>
      <c r="R98" s="306"/>
      <c r="S98" s="306"/>
      <c r="T98" s="306"/>
      <c r="U98" s="306"/>
      <c r="V98" s="306"/>
      <c r="W98" s="306"/>
      <c r="X98" s="306"/>
      <c r="Y98" s="306"/>
      <c r="Z98" s="306"/>
      <c r="AA98" s="306"/>
      <c r="AB98" s="306"/>
      <c r="AC98" s="306"/>
      <c r="AD98" s="306"/>
      <c r="AE98" s="306"/>
      <c r="AF98" s="306"/>
      <c r="AG98" s="306"/>
      <c r="AH98" s="306"/>
      <c r="AI98" s="306"/>
      <c r="AJ98" s="306"/>
      <c r="AK98" s="409"/>
      <c r="AL98" s="133"/>
      <c r="AM98" s="426"/>
      <c r="AN98" s="435"/>
      <c r="AO98" s="435"/>
      <c r="AP98" s="435"/>
      <c r="AQ98" s="435"/>
      <c r="AR98" s="435"/>
      <c r="AS98" s="435"/>
      <c r="AT98" s="435"/>
      <c r="AU98" s="435"/>
      <c r="AV98" s="435"/>
      <c r="AW98" s="435"/>
      <c r="AX98" s="455"/>
      <c r="AY98" s="136"/>
    </row>
    <row r="99" spans="1:56" s="130" customFormat="1" ht="6" customHeight="1">
      <c r="A99" s="134"/>
      <c r="B99" s="184"/>
      <c r="C99" s="135"/>
      <c r="D99" s="135"/>
      <c r="E99" s="135"/>
      <c r="F99" s="135"/>
      <c r="G99" s="135"/>
      <c r="H99" s="135"/>
      <c r="I99" s="135"/>
      <c r="J99" s="135"/>
      <c r="K99" s="135"/>
      <c r="L99" s="135"/>
      <c r="M99" s="135"/>
      <c r="N99" s="135"/>
      <c r="O99" s="135"/>
      <c r="P99" s="135"/>
      <c r="Q99" s="135"/>
      <c r="R99" s="135"/>
      <c r="S99" s="135"/>
      <c r="T99" s="135"/>
      <c r="U99" s="135"/>
      <c r="V99" s="135"/>
      <c r="W99" s="135"/>
      <c r="X99" s="135"/>
      <c r="Y99" s="135"/>
      <c r="Z99" s="135"/>
      <c r="AA99" s="135"/>
      <c r="AB99" s="135"/>
      <c r="AC99" s="135"/>
      <c r="AD99" s="135"/>
      <c r="AE99" s="135"/>
      <c r="AF99" s="135"/>
      <c r="AG99" s="135"/>
      <c r="AH99" s="135"/>
      <c r="AI99" s="135"/>
      <c r="AJ99" s="135"/>
      <c r="AK99" s="135"/>
      <c r="AL99" s="133"/>
      <c r="AM99" s="136"/>
      <c r="AN99" s="133"/>
      <c r="AO99" s="134"/>
      <c r="AP99" s="134"/>
      <c r="AQ99" s="134"/>
      <c r="AR99" s="134"/>
      <c r="AS99" s="134"/>
      <c r="AT99" s="134"/>
      <c r="AU99" s="134"/>
      <c r="AV99" s="134"/>
      <c r="AW99" s="134"/>
      <c r="AX99" s="134"/>
      <c r="AY99" s="134"/>
      <c r="AZ99" s="128"/>
    </row>
    <row r="100" spans="1:56" s="1" customFormat="1" ht="19.899999999999999" customHeight="1">
      <c r="A100" s="2"/>
      <c r="B100" s="185" t="s">
        <v>490</v>
      </c>
      <c r="C100" s="185"/>
      <c r="D100" s="185"/>
      <c r="E100" s="185"/>
      <c r="F100" s="185"/>
      <c r="G100" s="185"/>
      <c r="H100" s="185"/>
      <c r="I100" s="185"/>
      <c r="J100" s="322"/>
      <c r="K100" s="322"/>
      <c r="L100" s="322"/>
      <c r="M100" s="322"/>
      <c r="N100" s="322"/>
      <c r="O100" s="322"/>
      <c r="P100" s="322"/>
      <c r="Q100" s="322"/>
      <c r="R100" s="322"/>
      <c r="S100" s="322"/>
      <c r="T100" s="322"/>
      <c r="U100" s="322"/>
      <c r="V100" s="322"/>
      <c r="W100" s="322"/>
      <c r="X100" s="322"/>
      <c r="Y100" s="322"/>
      <c r="Z100" s="322"/>
      <c r="AA100" s="322"/>
      <c r="AB100" s="322"/>
      <c r="AC100" s="322"/>
      <c r="AD100" s="322"/>
      <c r="AE100" s="322"/>
      <c r="AF100" s="322"/>
      <c r="AG100" s="322"/>
      <c r="AH100" s="322"/>
      <c r="AI100" s="322"/>
      <c r="AJ100" s="322"/>
      <c r="AK100" s="133"/>
      <c r="AL100" s="2"/>
      <c r="AM100" s="428"/>
      <c r="AN100" s="428"/>
      <c r="AO100" s="428"/>
      <c r="AP100" s="428"/>
      <c r="AQ100" s="428"/>
      <c r="AR100" s="428"/>
      <c r="AS100" s="428"/>
      <c r="AT100" s="428"/>
      <c r="AU100" s="428"/>
      <c r="AV100" s="428"/>
      <c r="AW100" s="428"/>
      <c r="AX100" s="428"/>
      <c r="AY100" s="428"/>
      <c r="BA100" s="469" t="s">
        <v>245</v>
      </c>
      <c r="BB100" s="469"/>
      <c r="BC100" s="469"/>
      <c r="BD100" s="469"/>
    </row>
    <row r="101" spans="1:56" ht="27.6" customHeight="1">
      <c r="A101" s="137"/>
      <c r="B101" s="186" t="s">
        <v>491</v>
      </c>
      <c r="C101" s="188"/>
      <c r="D101" s="188"/>
      <c r="E101" s="188"/>
      <c r="F101" s="188"/>
      <c r="G101" s="188"/>
      <c r="H101" s="188"/>
      <c r="I101" s="188"/>
      <c r="J101" s="188"/>
      <c r="K101" s="188"/>
      <c r="L101" s="188"/>
      <c r="M101" s="188"/>
      <c r="N101" s="188"/>
      <c r="O101" s="188"/>
      <c r="P101" s="188"/>
      <c r="Q101" s="188"/>
      <c r="R101" s="188"/>
      <c r="S101" s="188"/>
      <c r="T101" s="188"/>
      <c r="U101" s="188"/>
      <c r="V101" s="188"/>
      <c r="W101" s="188"/>
      <c r="X101" s="188"/>
      <c r="Y101" s="188"/>
      <c r="Z101" s="188"/>
      <c r="AA101" s="188"/>
      <c r="AB101" s="188"/>
      <c r="AC101" s="188"/>
      <c r="AD101" s="188"/>
      <c r="AE101" s="188"/>
      <c r="AF101" s="188"/>
      <c r="AG101" s="188"/>
      <c r="AH101" s="188"/>
      <c r="AI101" s="188"/>
      <c r="AJ101" s="188"/>
      <c r="AK101" s="410"/>
      <c r="AM101" s="428"/>
      <c r="AN101" s="428"/>
      <c r="AO101" s="428"/>
      <c r="AP101" s="428"/>
      <c r="AQ101" s="428"/>
      <c r="AR101" s="428"/>
      <c r="AS101" s="428"/>
      <c r="AT101" s="428"/>
      <c r="AU101" s="428"/>
      <c r="AV101" s="428"/>
      <c r="AW101" s="428"/>
      <c r="AX101" s="428"/>
      <c r="AY101" s="428"/>
    </row>
    <row r="102" spans="1:56" ht="111" customHeight="1">
      <c r="A102" s="137"/>
      <c r="B102" s="187" t="s">
        <v>83</v>
      </c>
      <c r="C102" s="232"/>
      <c r="D102" s="232"/>
      <c r="E102" s="232"/>
      <c r="F102" s="232"/>
      <c r="G102" s="232"/>
      <c r="H102" s="232"/>
      <c r="I102" s="232"/>
      <c r="J102" s="232"/>
      <c r="K102" s="232"/>
      <c r="L102" s="232"/>
      <c r="M102" s="232"/>
      <c r="N102" s="232"/>
      <c r="O102" s="232"/>
      <c r="P102" s="232"/>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349" t="str">
        <f>IF(H6="","",IF(AND('別紙様式2-2（個票（４、５月））'!BF12=0,'別紙様式2-3（個票（６月以降））'!BJ12=0),"",IF(AND(ISNUMBER(MATCH('別紙様式2-2（個票（４、５月））'!AJ9,{"","○"},0)),ISNUMBER(MATCH('別紙様式2-3（個票（６月以降））'!AJ9,{"","○"},0))),"○","×")))</f>
        <v/>
      </c>
      <c r="AR102" s="449"/>
    </row>
    <row r="103" spans="1:56" s="128" customFormat="1" ht="7.15" customHeight="1">
      <c r="A103" s="134"/>
      <c r="B103" s="188"/>
      <c r="C103" s="188"/>
      <c r="D103" s="188"/>
      <c r="E103" s="188"/>
      <c r="F103" s="188"/>
      <c r="G103" s="188"/>
      <c r="H103" s="188"/>
      <c r="I103" s="188"/>
      <c r="J103" s="188"/>
      <c r="K103" s="188"/>
      <c r="L103" s="188"/>
      <c r="M103" s="188"/>
      <c r="N103" s="188"/>
      <c r="O103" s="188"/>
      <c r="P103" s="188"/>
      <c r="Q103" s="188"/>
      <c r="R103" s="188"/>
      <c r="S103" s="188"/>
      <c r="T103" s="188"/>
      <c r="U103" s="188"/>
      <c r="V103" s="188"/>
      <c r="W103" s="188"/>
      <c r="X103" s="188"/>
      <c r="Y103" s="188"/>
      <c r="Z103" s="188"/>
      <c r="AA103" s="188"/>
      <c r="AB103" s="188"/>
      <c r="AC103" s="188"/>
      <c r="AD103" s="188"/>
      <c r="AE103" s="188"/>
      <c r="AF103" s="188"/>
      <c r="AG103" s="188"/>
      <c r="AH103" s="188"/>
      <c r="AI103" s="188"/>
      <c r="AJ103" s="188"/>
      <c r="AK103" s="410"/>
      <c r="AL103" s="134"/>
      <c r="AM103" s="440"/>
      <c r="AN103" s="440"/>
      <c r="AO103" s="440"/>
      <c r="AP103" s="440"/>
      <c r="AQ103" s="440"/>
      <c r="AR103" s="440"/>
      <c r="AS103" s="440"/>
      <c r="AT103" s="440"/>
      <c r="AU103" s="440"/>
      <c r="AV103" s="440"/>
      <c r="AW103" s="440"/>
      <c r="AX103" s="440"/>
      <c r="AY103" s="440"/>
      <c r="BA103" s="474"/>
      <c r="BB103" s="474"/>
      <c r="BC103" s="474"/>
      <c r="BD103" s="474"/>
    </row>
    <row r="104" spans="1:56" s="128" customFormat="1" ht="19.149999999999999" customHeight="1">
      <c r="A104" s="133"/>
      <c r="B104" s="141" t="s">
        <v>494</v>
      </c>
      <c r="C104" s="141"/>
      <c r="D104" s="141"/>
      <c r="E104" s="141"/>
      <c r="F104" s="141"/>
      <c r="G104" s="141"/>
      <c r="H104" s="141"/>
      <c r="I104" s="141"/>
      <c r="J104" s="321"/>
      <c r="K104" s="321"/>
      <c r="L104" s="321"/>
      <c r="M104" s="321"/>
      <c r="N104" s="321"/>
      <c r="O104" s="321"/>
      <c r="P104" s="321"/>
      <c r="Q104" s="321"/>
      <c r="R104" s="321"/>
      <c r="S104" s="321"/>
      <c r="T104" s="321"/>
      <c r="U104" s="321"/>
      <c r="V104" s="321"/>
      <c r="W104" s="321"/>
      <c r="X104" s="321"/>
      <c r="Y104" s="321"/>
      <c r="Z104" s="321"/>
      <c r="AA104" s="321"/>
      <c r="AB104" s="321"/>
      <c r="AC104" s="321"/>
      <c r="AD104" s="321"/>
      <c r="AE104" s="321"/>
      <c r="AF104" s="321"/>
      <c r="AG104" s="321"/>
      <c r="AH104" s="321"/>
      <c r="AI104" s="321"/>
      <c r="AJ104" s="321"/>
      <c r="AK104" s="321"/>
      <c r="AL104" s="133"/>
      <c r="AM104" s="134"/>
      <c r="AN104" s="133"/>
      <c r="AO104" s="133"/>
      <c r="AP104" s="133"/>
      <c r="AQ104" s="133"/>
      <c r="AR104" s="133"/>
      <c r="AS104" s="133"/>
      <c r="AT104" s="133"/>
      <c r="AU104" s="133"/>
      <c r="AV104" s="133"/>
      <c r="AW104" s="133"/>
      <c r="AX104" s="133"/>
      <c r="AY104" s="133"/>
      <c r="AZ104" s="44"/>
    </row>
    <row r="105" spans="1:56" ht="16.5" customHeight="1">
      <c r="A105" s="134"/>
      <c r="B105" s="189" t="s">
        <v>206</v>
      </c>
      <c r="C105" s="233" t="s">
        <v>496</v>
      </c>
      <c r="D105" s="195"/>
      <c r="E105" s="195"/>
      <c r="F105" s="195"/>
      <c r="G105" s="195"/>
      <c r="H105" s="195"/>
      <c r="I105" s="195"/>
      <c r="J105" s="195"/>
      <c r="K105" s="195"/>
      <c r="L105" s="195"/>
      <c r="M105" s="195"/>
      <c r="N105" s="195"/>
      <c r="O105" s="195"/>
      <c r="P105" s="195"/>
      <c r="Q105" s="195"/>
      <c r="R105" s="195"/>
      <c r="S105" s="195"/>
      <c r="T105" s="195"/>
      <c r="U105" s="195"/>
      <c r="V105" s="195"/>
      <c r="W105" s="195"/>
      <c r="X105" s="195"/>
      <c r="Y105" s="195"/>
      <c r="Z105" s="195"/>
      <c r="AA105" s="195"/>
      <c r="AB105" s="195"/>
      <c r="AC105" s="195"/>
      <c r="AD105" s="195"/>
      <c r="AE105" s="195"/>
      <c r="AF105" s="195"/>
      <c r="AG105" s="195"/>
      <c r="AH105" s="195"/>
      <c r="AI105" s="195"/>
      <c r="AJ105" s="195"/>
      <c r="AK105" s="133"/>
      <c r="AL105" s="133"/>
      <c r="AM105" s="133"/>
      <c r="AN105" s="434"/>
      <c r="AO105" s="434"/>
      <c r="AP105" s="434"/>
      <c r="AQ105" s="434"/>
      <c r="AR105" s="434"/>
      <c r="AS105" s="434"/>
      <c r="AT105" s="434"/>
      <c r="AU105" s="434"/>
      <c r="AV105" s="434"/>
      <c r="AW105" s="434"/>
      <c r="AX105" s="434"/>
      <c r="AY105" s="434"/>
      <c r="AZ105" s="128"/>
    </row>
    <row r="106" spans="1:56" s="128" customFormat="1" ht="39.6" customHeight="1">
      <c r="A106" s="134"/>
      <c r="B106" s="190" t="s">
        <v>499</v>
      </c>
      <c r="C106" s="234"/>
      <c r="D106" s="234"/>
      <c r="E106" s="234"/>
      <c r="F106" s="234"/>
      <c r="G106" s="234"/>
      <c r="H106" s="234"/>
      <c r="I106" s="234"/>
      <c r="J106" s="234"/>
      <c r="K106" s="234"/>
      <c r="L106" s="234"/>
      <c r="M106" s="234"/>
      <c r="N106" s="234"/>
      <c r="O106" s="234"/>
      <c r="P106" s="234"/>
      <c r="Q106" s="234"/>
      <c r="R106" s="234"/>
      <c r="S106" s="234"/>
      <c r="T106" s="234"/>
      <c r="U106" s="234"/>
      <c r="V106" s="234"/>
      <c r="W106" s="234"/>
      <c r="X106" s="234"/>
      <c r="Y106" s="234"/>
      <c r="Z106" s="234"/>
      <c r="AA106" s="234"/>
      <c r="AB106" s="234"/>
      <c r="AC106" s="234"/>
      <c r="AD106" s="360"/>
      <c r="AE106" s="364" t="s">
        <v>501</v>
      </c>
      <c r="AF106" s="368"/>
      <c r="AG106" s="368"/>
      <c r="AH106" s="368"/>
      <c r="AI106" s="368"/>
      <c r="AJ106" s="379"/>
      <c r="AK106" s="349" t="str">
        <f>IF(H6="","",IF(AND(BA107=TRUE,OR(BA108=TRUE),BA109=TRUE,BA110=TRUE,BA112=TRUE,BA111=TRUE,BA113=TRUE),"○","×"))</f>
        <v/>
      </c>
      <c r="AL106" s="133"/>
      <c r="AM106" s="441" t="s">
        <v>441</v>
      </c>
      <c r="AN106" s="445"/>
      <c r="AO106" s="445"/>
      <c r="AP106" s="445"/>
      <c r="AQ106" s="445"/>
      <c r="AR106" s="445"/>
      <c r="AS106" s="445"/>
      <c r="AT106" s="445"/>
      <c r="AU106" s="445"/>
      <c r="AV106" s="445"/>
      <c r="AW106" s="445"/>
      <c r="AX106" s="445"/>
      <c r="AY106" s="457"/>
      <c r="BA106" s="475"/>
    </row>
    <row r="107" spans="1:56" s="128" customFormat="1" ht="48.75" customHeight="1">
      <c r="A107" s="134"/>
      <c r="B107" s="191"/>
      <c r="C107" s="235" t="s">
        <v>504</v>
      </c>
      <c r="D107" s="214"/>
      <c r="E107" s="214"/>
      <c r="F107" s="214"/>
      <c r="G107" s="214"/>
      <c r="H107" s="214"/>
      <c r="I107" s="214"/>
      <c r="J107" s="214"/>
      <c r="K107" s="214"/>
      <c r="L107" s="214"/>
      <c r="M107" s="214"/>
      <c r="N107" s="214"/>
      <c r="O107" s="214"/>
      <c r="P107" s="214"/>
      <c r="Q107" s="214"/>
      <c r="R107" s="214"/>
      <c r="S107" s="214"/>
      <c r="T107" s="214"/>
      <c r="U107" s="214"/>
      <c r="V107" s="214"/>
      <c r="W107" s="214"/>
      <c r="X107" s="214"/>
      <c r="Y107" s="214"/>
      <c r="Z107" s="214"/>
      <c r="AA107" s="214"/>
      <c r="AB107" s="214"/>
      <c r="AC107" s="214"/>
      <c r="AD107" s="361"/>
      <c r="AE107" s="365" t="s">
        <v>217</v>
      </c>
      <c r="AF107" s="369"/>
      <c r="AG107" s="369"/>
      <c r="AH107" s="369"/>
      <c r="AI107" s="369"/>
      <c r="AJ107" s="369"/>
      <c r="AK107" s="411"/>
      <c r="AL107" s="133"/>
      <c r="AM107" s="134"/>
      <c r="AN107" s="428"/>
      <c r="AO107" s="428"/>
      <c r="AP107" s="428"/>
      <c r="AQ107" s="428"/>
      <c r="AR107" s="428"/>
      <c r="AS107" s="428"/>
      <c r="AT107" s="428"/>
      <c r="AU107" s="428"/>
      <c r="AV107" s="428"/>
      <c r="AW107" s="134"/>
      <c r="AX107" s="134"/>
      <c r="AY107" s="134"/>
      <c r="AZ107" s="458"/>
      <c r="BA107" s="476" t="b">
        <v>0</v>
      </c>
      <c r="BB107" s="478"/>
    </row>
    <row r="108" spans="1:56" s="128" customFormat="1" ht="37.15" customHeight="1">
      <c r="A108" s="134"/>
      <c r="B108" s="192"/>
      <c r="C108" s="235" t="s">
        <v>505</v>
      </c>
      <c r="D108" s="214"/>
      <c r="E108" s="214"/>
      <c r="F108" s="214"/>
      <c r="G108" s="214"/>
      <c r="H108" s="214"/>
      <c r="I108" s="214"/>
      <c r="J108" s="214"/>
      <c r="K108" s="214"/>
      <c r="L108" s="214"/>
      <c r="M108" s="214"/>
      <c r="N108" s="214"/>
      <c r="O108" s="214"/>
      <c r="P108" s="214"/>
      <c r="Q108" s="214"/>
      <c r="R108" s="214"/>
      <c r="S108" s="214"/>
      <c r="T108" s="214"/>
      <c r="U108" s="214"/>
      <c r="V108" s="214"/>
      <c r="W108" s="214"/>
      <c r="X108" s="214"/>
      <c r="Y108" s="214"/>
      <c r="Z108" s="214"/>
      <c r="AA108" s="214"/>
      <c r="AB108" s="214"/>
      <c r="AC108" s="214"/>
      <c r="AD108" s="361"/>
      <c r="AE108" s="365" t="s">
        <v>217</v>
      </c>
      <c r="AF108" s="369"/>
      <c r="AG108" s="369"/>
      <c r="AH108" s="369"/>
      <c r="AI108" s="369"/>
      <c r="AJ108" s="369"/>
      <c r="AK108" s="369"/>
      <c r="AL108" s="133"/>
      <c r="AM108" s="134"/>
      <c r="AN108" s="428"/>
      <c r="AO108" s="428"/>
      <c r="AP108" s="428"/>
      <c r="AQ108" s="428"/>
      <c r="AR108" s="428"/>
      <c r="AS108" s="428"/>
      <c r="AT108" s="428"/>
      <c r="AU108" s="428"/>
      <c r="AV108" s="428"/>
      <c r="AW108" s="134"/>
      <c r="AX108" s="134"/>
      <c r="AY108" s="134"/>
      <c r="BA108" s="466" t="b">
        <v>0</v>
      </c>
    </row>
    <row r="109" spans="1:56" s="128" customFormat="1" ht="36.6" customHeight="1">
      <c r="A109" s="134"/>
      <c r="B109" s="192"/>
      <c r="C109" s="236" t="s">
        <v>209</v>
      </c>
      <c r="D109" s="265"/>
      <c r="E109" s="265"/>
      <c r="F109" s="265"/>
      <c r="G109" s="265"/>
      <c r="H109" s="265"/>
      <c r="I109" s="265"/>
      <c r="J109" s="265"/>
      <c r="K109" s="265"/>
      <c r="L109" s="265"/>
      <c r="M109" s="265"/>
      <c r="N109" s="265"/>
      <c r="O109" s="265"/>
      <c r="P109" s="265"/>
      <c r="Q109" s="265"/>
      <c r="R109" s="265"/>
      <c r="S109" s="265"/>
      <c r="T109" s="265"/>
      <c r="U109" s="265"/>
      <c r="V109" s="265"/>
      <c r="W109" s="265"/>
      <c r="X109" s="265"/>
      <c r="Y109" s="265"/>
      <c r="Z109" s="265"/>
      <c r="AA109" s="265"/>
      <c r="AB109" s="265"/>
      <c r="AC109" s="265"/>
      <c r="AD109" s="362"/>
      <c r="AE109" s="365" t="s">
        <v>15</v>
      </c>
      <c r="AF109" s="369"/>
      <c r="AG109" s="369"/>
      <c r="AH109" s="369"/>
      <c r="AI109" s="369"/>
      <c r="AJ109" s="369"/>
      <c r="AK109" s="369"/>
      <c r="AL109" s="133"/>
      <c r="AM109" s="134"/>
      <c r="AN109" s="134"/>
      <c r="AO109" s="134"/>
      <c r="AP109" s="428"/>
      <c r="AQ109" s="134"/>
      <c r="AR109" s="134"/>
      <c r="AS109" s="134"/>
      <c r="AT109" s="134"/>
      <c r="AU109" s="134"/>
      <c r="AV109" s="134"/>
      <c r="AW109" s="134"/>
      <c r="AX109" s="134"/>
      <c r="AY109" s="134"/>
      <c r="BA109" s="466" t="b">
        <v>0</v>
      </c>
    </row>
    <row r="110" spans="1:56" s="128" customFormat="1" ht="28.9" customHeight="1">
      <c r="A110" s="134"/>
      <c r="B110" s="192"/>
      <c r="C110" s="236" t="s">
        <v>509</v>
      </c>
      <c r="D110" s="265"/>
      <c r="E110" s="265"/>
      <c r="F110" s="265"/>
      <c r="G110" s="265"/>
      <c r="H110" s="265"/>
      <c r="I110" s="265"/>
      <c r="J110" s="265"/>
      <c r="K110" s="265"/>
      <c r="L110" s="265"/>
      <c r="M110" s="265"/>
      <c r="N110" s="265"/>
      <c r="O110" s="265"/>
      <c r="P110" s="265"/>
      <c r="Q110" s="265"/>
      <c r="R110" s="265"/>
      <c r="S110" s="265"/>
      <c r="T110" s="265"/>
      <c r="U110" s="265"/>
      <c r="V110" s="265"/>
      <c r="W110" s="265"/>
      <c r="X110" s="265"/>
      <c r="Y110" s="265"/>
      <c r="Z110" s="265"/>
      <c r="AA110" s="265"/>
      <c r="AB110" s="265"/>
      <c r="AC110" s="265"/>
      <c r="AD110" s="362"/>
      <c r="AE110" s="366" t="s">
        <v>511</v>
      </c>
      <c r="AF110" s="370"/>
      <c r="AG110" s="370"/>
      <c r="AH110" s="370"/>
      <c r="AI110" s="370"/>
      <c r="AJ110" s="370"/>
      <c r="AK110" s="370"/>
      <c r="AL110" s="133"/>
      <c r="AM110" s="134"/>
      <c r="AN110" s="446"/>
      <c r="AO110" s="446"/>
      <c r="AP110" s="446"/>
      <c r="AQ110" s="134"/>
      <c r="AR110" s="134"/>
      <c r="AS110" s="134"/>
      <c r="AT110" s="134"/>
      <c r="AU110" s="134"/>
      <c r="AV110" s="134"/>
      <c r="AW110" s="134"/>
      <c r="AX110" s="134"/>
      <c r="AY110" s="134"/>
      <c r="BA110" s="466" t="b">
        <v>0</v>
      </c>
    </row>
    <row r="111" spans="1:56" s="128" customFormat="1" ht="22.15" customHeight="1">
      <c r="A111" s="134"/>
      <c r="B111" s="192"/>
      <c r="C111" s="236" t="s">
        <v>517</v>
      </c>
      <c r="D111" s="265"/>
      <c r="E111" s="265"/>
      <c r="F111" s="265"/>
      <c r="G111" s="265"/>
      <c r="H111" s="265"/>
      <c r="I111" s="265"/>
      <c r="J111" s="265"/>
      <c r="K111" s="265"/>
      <c r="L111" s="265"/>
      <c r="M111" s="265"/>
      <c r="N111" s="265"/>
      <c r="O111" s="265"/>
      <c r="P111" s="265"/>
      <c r="Q111" s="265"/>
      <c r="R111" s="265"/>
      <c r="S111" s="265"/>
      <c r="T111" s="265"/>
      <c r="U111" s="265"/>
      <c r="V111" s="265"/>
      <c r="W111" s="265"/>
      <c r="X111" s="265"/>
      <c r="Y111" s="265"/>
      <c r="Z111" s="265"/>
      <c r="AA111" s="265"/>
      <c r="AB111" s="265"/>
      <c r="AC111" s="265"/>
      <c r="AD111" s="362"/>
      <c r="AE111" s="365" t="s">
        <v>518</v>
      </c>
      <c r="AF111" s="369"/>
      <c r="AG111" s="369"/>
      <c r="AH111" s="369"/>
      <c r="AI111" s="369"/>
      <c r="AJ111" s="369"/>
      <c r="AK111" s="369"/>
      <c r="AL111" s="133"/>
      <c r="AM111" s="134"/>
      <c r="AN111" s="446"/>
      <c r="AO111" s="446"/>
      <c r="AP111" s="446"/>
      <c r="AQ111" s="134"/>
      <c r="AR111" s="134"/>
      <c r="AS111" s="134"/>
      <c r="AT111" s="134"/>
      <c r="AU111" s="134"/>
      <c r="AV111" s="134"/>
      <c r="AW111" s="134"/>
      <c r="AX111" s="134"/>
      <c r="AY111" s="134"/>
      <c r="BA111" s="466" t="b">
        <v>0</v>
      </c>
    </row>
    <row r="112" spans="1:56" s="128" customFormat="1" ht="22.15" customHeight="1">
      <c r="A112" s="134"/>
      <c r="B112" s="193"/>
      <c r="C112" s="237" t="s">
        <v>522</v>
      </c>
      <c r="D112" s="266"/>
      <c r="E112" s="266"/>
      <c r="F112" s="266"/>
      <c r="G112" s="266"/>
      <c r="H112" s="266"/>
      <c r="I112" s="266"/>
      <c r="J112" s="266"/>
      <c r="K112" s="266"/>
      <c r="L112" s="266"/>
      <c r="M112" s="266"/>
      <c r="N112" s="266"/>
      <c r="O112" s="266"/>
      <c r="P112" s="266"/>
      <c r="Q112" s="266"/>
      <c r="R112" s="266"/>
      <c r="S112" s="266"/>
      <c r="T112" s="266"/>
      <c r="U112" s="266"/>
      <c r="V112" s="266"/>
      <c r="W112" s="266"/>
      <c r="X112" s="266"/>
      <c r="Y112" s="266"/>
      <c r="Z112" s="266"/>
      <c r="AA112" s="266"/>
      <c r="AB112" s="266"/>
      <c r="AC112" s="266"/>
      <c r="AD112" s="363"/>
      <c r="AE112" s="367" t="s">
        <v>524</v>
      </c>
      <c r="AF112" s="371"/>
      <c r="AG112" s="371"/>
      <c r="AH112" s="371"/>
      <c r="AI112" s="371"/>
      <c r="AJ112" s="371"/>
      <c r="AK112" s="371"/>
      <c r="AL112" s="133"/>
      <c r="AM112" s="134"/>
      <c r="AN112" s="134"/>
      <c r="AO112" s="134"/>
      <c r="AP112" s="134"/>
      <c r="AQ112" s="134"/>
      <c r="AR112" s="134"/>
      <c r="AS112" s="134"/>
      <c r="AT112" s="134"/>
      <c r="AU112" s="134"/>
      <c r="AV112" s="134"/>
      <c r="AW112" s="134"/>
      <c r="AX112" s="134"/>
      <c r="AY112" s="134"/>
      <c r="BA112" s="466" t="b">
        <v>0</v>
      </c>
    </row>
    <row r="113" spans="1:53" s="128" customFormat="1" ht="25.5" customHeight="1">
      <c r="A113" s="134"/>
      <c r="B113" s="194"/>
      <c r="C113" s="236" t="s">
        <v>531</v>
      </c>
      <c r="D113" s="265"/>
      <c r="E113" s="265"/>
      <c r="F113" s="265"/>
      <c r="G113" s="265"/>
      <c r="H113" s="265"/>
      <c r="I113" s="265"/>
      <c r="J113" s="265"/>
      <c r="K113" s="265"/>
      <c r="L113" s="265"/>
      <c r="M113" s="265"/>
      <c r="N113" s="265"/>
      <c r="O113" s="265"/>
      <c r="P113" s="265"/>
      <c r="Q113" s="265"/>
      <c r="R113" s="265"/>
      <c r="S113" s="265"/>
      <c r="T113" s="265"/>
      <c r="U113" s="265"/>
      <c r="V113" s="265"/>
      <c r="W113" s="265"/>
      <c r="X113" s="265"/>
      <c r="Y113" s="265"/>
      <c r="Z113" s="265"/>
      <c r="AA113" s="265"/>
      <c r="AB113" s="265"/>
      <c r="AC113" s="265"/>
      <c r="AD113" s="362"/>
      <c r="AE113" s="366" t="s">
        <v>511</v>
      </c>
      <c r="AF113" s="370"/>
      <c r="AG113" s="370"/>
      <c r="AH113" s="370"/>
      <c r="AI113" s="370"/>
      <c r="AJ113" s="370"/>
      <c r="AK113" s="370"/>
      <c r="AL113" s="133"/>
      <c r="AM113" s="134"/>
      <c r="AN113" s="134"/>
      <c r="AO113" s="134"/>
      <c r="AP113" s="134"/>
      <c r="AQ113" s="134"/>
      <c r="AR113" s="134"/>
      <c r="AS113" s="134"/>
      <c r="AT113" s="134"/>
      <c r="AU113" s="134"/>
      <c r="AV113" s="134"/>
      <c r="AW113" s="134"/>
      <c r="AX113" s="134"/>
      <c r="AY113" s="134"/>
      <c r="BA113" s="466" t="b">
        <v>0</v>
      </c>
    </row>
    <row r="114" spans="1:53" s="128" customFormat="1" ht="4.9000000000000004" customHeight="1">
      <c r="A114" s="134"/>
      <c r="B114" s="195"/>
      <c r="C114" s="233"/>
      <c r="D114" s="195"/>
      <c r="E114" s="195"/>
      <c r="F114" s="195"/>
      <c r="G114" s="195"/>
      <c r="H114" s="195"/>
      <c r="I114" s="195"/>
      <c r="J114" s="195"/>
      <c r="K114" s="195"/>
      <c r="L114" s="195"/>
      <c r="M114" s="195"/>
      <c r="N114" s="195"/>
      <c r="O114" s="195"/>
      <c r="P114" s="195"/>
      <c r="Q114" s="195"/>
      <c r="R114" s="195"/>
      <c r="S114" s="195"/>
      <c r="T114" s="195"/>
      <c r="U114" s="195"/>
      <c r="V114" s="195"/>
      <c r="W114" s="195"/>
      <c r="X114" s="195"/>
      <c r="Y114" s="195"/>
      <c r="Z114" s="233"/>
      <c r="AA114" s="233"/>
      <c r="AB114" s="233"/>
      <c r="AC114" s="233"/>
      <c r="AD114" s="233"/>
      <c r="AE114" s="233"/>
      <c r="AF114" s="233"/>
      <c r="AG114" s="233"/>
      <c r="AH114" s="233"/>
      <c r="AI114" s="195"/>
      <c r="AJ114" s="195"/>
      <c r="AK114" s="133"/>
      <c r="AL114" s="133"/>
      <c r="AM114" s="134"/>
      <c r="AN114" s="134"/>
      <c r="AO114" s="134"/>
      <c r="AP114" s="134"/>
      <c r="AQ114" s="134"/>
      <c r="AR114" s="134"/>
      <c r="AS114" s="134"/>
      <c r="AT114" s="134"/>
      <c r="AU114" s="134"/>
      <c r="AV114" s="134"/>
      <c r="AW114" s="134"/>
      <c r="AX114" s="134"/>
      <c r="AY114" s="134"/>
    </row>
    <row r="115" spans="1:53" s="128" customFormat="1" ht="12" customHeight="1">
      <c r="A115" s="134"/>
      <c r="B115" s="196" t="s">
        <v>535</v>
      </c>
      <c r="C115" s="238" t="s">
        <v>536</v>
      </c>
      <c r="D115" s="238"/>
      <c r="E115" s="238"/>
      <c r="F115" s="238"/>
      <c r="G115" s="238"/>
      <c r="H115" s="238"/>
      <c r="I115" s="238"/>
      <c r="J115" s="238"/>
      <c r="K115" s="238"/>
      <c r="L115" s="238"/>
      <c r="M115" s="238"/>
      <c r="N115" s="238"/>
      <c r="O115" s="238"/>
      <c r="P115" s="238"/>
      <c r="Q115" s="238"/>
      <c r="R115" s="238"/>
      <c r="S115" s="238"/>
      <c r="T115" s="238"/>
      <c r="U115" s="238"/>
      <c r="V115" s="238"/>
      <c r="W115" s="238"/>
      <c r="X115" s="238"/>
      <c r="Y115" s="238"/>
      <c r="Z115" s="238"/>
      <c r="AA115" s="238"/>
      <c r="AB115" s="238"/>
      <c r="AC115" s="238"/>
      <c r="AD115" s="238"/>
      <c r="AE115" s="238"/>
      <c r="AF115" s="238"/>
      <c r="AG115" s="238"/>
      <c r="AH115" s="238"/>
      <c r="AI115" s="238"/>
      <c r="AJ115" s="238"/>
      <c r="AK115" s="247"/>
      <c r="AL115" s="133"/>
      <c r="AM115" s="134"/>
      <c r="AN115" s="134"/>
      <c r="AO115" s="134"/>
      <c r="AP115" s="134"/>
      <c r="AQ115" s="134"/>
      <c r="AR115" s="134"/>
      <c r="AS115" s="134"/>
      <c r="AT115" s="134"/>
      <c r="AU115" s="134"/>
      <c r="AV115" s="134"/>
      <c r="AW115" s="134"/>
      <c r="AX115" s="134"/>
      <c r="AY115" s="134"/>
    </row>
    <row r="116" spans="1:53" s="128" customFormat="1" ht="24.6" customHeight="1">
      <c r="A116" s="134"/>
      <c r="B116" s="196" t="s">
        <v>535</v>
      </c>
      <c r="C116" s="239" t="s">
        <v>541</v>
      </c>
      <c r="D116" s="239"/>
      <c r="E116" s="239"/>
      <c r="F116" s="239"/>
      <c r="G116" s="239"/>
      <c r="H116" s="239"/>
      <c r="I116" s="239"/>
      <c r="J116" s="239"/>
      <c r="K116" s="239"/>
      <c r="L116" s="239"/>
      <c r="M116" s="239"/>
      <c r="N116" s="239"/>
      <c r="O116" s="239"/>
      <c r="P116" s="239"/>
      <c r="Q116" s="239"/>
      <c r="R116" s="239"/>
      <c r="S116" s="239"/>
      <c r="T116" s="239"/>
      <c r="U116" s="239"/>
      <c r="V116" s="239"/>
      <c r="W116" s="239"/>
      <c r="X116" s="239"/>
      <c r="Y116" s="239"/>
      <c r="Z116" s="239"/>
      <c r="AA116" s="239"/>
      <c r="AB116" s="239"/>
      <c r="AC116" s="239"/>
      <c r="AD116" s="239"/>
      <c r="AE116" s="239"/>
      <c r="AF116" s="239"/>
      <c r="AG116" s="239"/>
      <c r="AH116" s="239"/>
      <c r="AI116" s="239"/>
      <c r="AJ116" s="239"/>
      <c r="AK116" s="239"/>
      <c r="AL116" s="133"/>
      <c r="AM116" s="134"/>
      <c r="AN116" s="134"/>
      <c r="AO116" s="134"/>
      <c r="AP116" s="134"/>
      <c r="AQ116" s="134"/>
      <c r="AR116" s="134"/>
      <c r="AS116" s="134"/>
      <c r="AT116" s="134"/>
      <c r="AU116" s="134"/>
      <c r="AV116" s="134"/>
      <c r="AW116" s="134"/>
      <c r="AX116" s="134"/>
      <c r="AY116" s="134"/>
    </row>
    <row r="117" spans="1:53" s="128" customFormat="1" ht="5.45" customHeight="1">
      <c r="A117" s="134"/>
      <c r="B117" s="196"/>
      <c r="C117" s="225"/>
      <c r="D117" s="225"/>
      <c r="E117" s="225"/>
      <c r="F117" s="225"/>
      <c r="G117" s="225"/>
      <c r="H117" s="225"/>
      <c r="I117" s="225"/>
      <c r="J117" s="225"/>
      <c r="K117" s="225"/>
      <c r="L117" s="225"/>
      <c r="M117" s="225"/>
      <c r="N117" s="225"/>
      <c r="O117" s="225"/>
      <c r="P117" s="225"/>
      <c r="Q117" s="225"/>
      <c r="R117" s="225"/>
      <c r="S117" s="225"/>
      <c r="T117" s="225"/>
      <c r="U117" s="225"/>
      <c r="V117" s="225"/>
      <c r="W117" s="225"/>
      <c r="X117" s="225"/>
      <c r="Y117" s="225"/>
      <c r="Z117" s="225"/>
      <c r="AA117" s="225"/>
      <c r="AB117" s="225"/>
      <c r="AC117" s="225"/>
      <c r="AD117" s="225"/>
      <c r="AE117" s="225"/>
      <c r="AF117" s="225"/>
      <c r="AG117" s="225"/>
      <c r="AH117" s="225"/>
      <c r="AI117" s="225"/>
      <c r="AJ117" s="225"/>
      <c r="AK117" s="225"/>
      <c r="AL117" s="133"/>
      <c r="AM117" s="134"/>
      <c r="AN117" s="134"/>
      <c r="AO117" s="134"/>
      <c r="AP117" s="134"/>
      <c r="AQ117" s="134"/>
      <c r="AR117" s="134"/>
      <c r="AS117" s="134"/>
      <c r="AT117" s="134"/>
      <c r="AU117" s="134"/>
      <c r="AV117" s="134"/>
      <c r="AW117" s="134"/>
      <c r="AX117" s="134"/>
      <c r="AY117" s="134"/>
    </row>
    <row r="118" spans="1:53" s="128" customFormat="1" ht="15.6" customHeight="1">
      <c r="A118" s="134"/>
      <c r="B118" s="197"/>
      <c r="C118" s="240"/>
      <c r="D118" s="240"/>
      <c r="E118" s="240"/>
      <c r="F118" s="240"/>
      <c r="G118" s="240"/>
      <c r="H118" s="240"/>
      <c r="I118" s="240"/>
      <c r="J118" s="240"/>
      <c r="K118" s="240"/>
      <c r="L118" s="240"/>
      <c r="M118" s="240"/>
      <c r="N118" s="240"/>
      <c r="O118" s="240"/>
      <c r="P118" s="240"/>
      <c r="Q118" s="240"/>
      <c r="R118" s="240"/>
      <c r="S118" s="240"/>
      <c r="T118" s="240"/>
      <c r="U118" s="240"/>
      <c r="V118" s="240"/>
      <c r="W118" s="240"/>
      <c r="X118" s="240"/>
      <c r="Y118" s="240"/>
      <c r="Z118" s="240"/>
      <c r="AA118" s="240"/>
      <c r="AB118" s="240"/>
      <c r="AC118" s="240"/>
      <c r="AD118" s="240"/>
      <c r="AE118" s="240"/>
      <c r="AF118" s="240"/>
      <c r="AG118" s="240"/>
      <c r="AH118" s="240"/>
      <c r="AI118" s="240"/>
      <c r="AJ118" s="240"/>
      <c r="AK118" s="356" t="str">
        <f>IF(H6="","",IF(COUNTA(E122,H122,K122)=3,"○","×"))</f>
        <v/>
      </c>
      <c r="AL118" s="133"/>
      <c r="AM118" s="134"/>
      <c r="AN118" s="134"/>
      <c r="AO118" s="134"/>
      <c r="AP118" s="134"/>
      <c r="AQ118" s="134"/>
      <c r="AR118" s="134"/>
      <c r="AS118" s="134"/>
      <c r="AT118" s="134"/>
      <c r="AU118" s="134"/>
      <c r="AV118" s="134"/>
      <c r="AW118" s="134"/>
      <c r="AX118" s="134"/>
      <c r="AY118" s="134"/>
    </row>
    <row r="119" spans="1:53" s="128" customFormat="1" ht="4.1500000000000004" customHeight="1">
      <c r="A119" s="134"/>
      <c r="B119" s="198"/>
      <c r="C119" s="241"/>
      <c r="D119" s="241"/>
      <c r="E119" s="241"/>
      <c r="F119" s="241"/>
      <c r="G119" s="241"/>
      <c r="H119" s="241"/>
      <c r="I119" s="241"/>
      <c r="J119" s="241"/>
      <c r="K119" s="241"/>
      <c r="L119" s="241"/>
      <c r="M119" s="241"/>
      <c r="N119" s="241"/>
      <c r="O119" s="241"/>
      <c r="P119" s="241"/>
      <c r="Q119" s="241"/>
      <c r="R119" s="241"/>
      <c r="S119" s="241"/>
      <c r="T119" s="241"/>
      <c r="U119" s="241"/>
      <c r="V119" s="241"/>
      <c r="W119" s="241"/>
      <c r="X119" s="241"/>
      <c r="Y119" s="241"/>
      <c r="Z119" s="241"/>
      <c r="AA119" s="241"/>
      <c r="AB119" s="241"/>
      <c r="AC119" s="241"/>
      <c r="AD119" s="241"/>
      <c r="AE119" s="241"/>
      <c r="AF119" s="241"/>
      <c r="AG119" s="241"/>
      <c r="AH119" s="241"/>
      <c r="AI119" s="241"/>
      <c r="AJ119" s="241"/>
      <c r="AK119" s="412"/>
      <c r="AL119" s="133"/>
      <c r="AM119" s="134"/>
      <c r="AN119" s="134"/>
      <c r="AO119" s="134"/>
      <c r="AP119" s="134"/>
      <c r="AQ119" s="134"/>
      <c r="AR119" s="134"/>
      <c r="AS119" s="134"/>
      <c r="AT119" s="134"/>
      <c r="AU119" s="134"/>
      <c r="AV119" s="134"/>
      <c r="AW119" s="134"/>
      <c r="AX119" s="134"/>
      <c r="AY119" s="134"/>
    </row>
    <row r="120" spans="1:53" s="128" customFormat="1" ht="30" customHeight="1">
      <c r="A120" s="134"/>
      <c r="B120" s="199"/>
      <c r="C120" s="242" t="s">
        <v>328</v>
      </c>
      <c r="D120" s="242"/>
      <c r="E120" s="242"/>
      <c r="F120" s="242"/>
      <c r="G120" s="242"/>
      <c r="H120" s="242"/>
      <c r="I120" s="242"/>
      <c r="J120" s="242"/>
      <c r="K120" s="242"/>
      <c r="L120" s="242"/>
      <c r="M120" s="242"/>
      <c r="N120" s="242"/>
      <c r="O120" s="242"/>
      <c r="P120" s="242"/>
      <c r="Q120" s="242"/>
      <c r="R120" s="242"/>
      <c r="S120" s="242"/>
      <c r="T120" s="242"/>
      <c r="U120" s="242"/>
      <c r="V120" s="242"/>
      <c r="W120" s="242"/>
      <c r="X120" s="242"/>
      <c r="Y120" s="242"/>
      <c r="Z120" s="242"/>
      <c r="AA120" s="242"/>
      <c r="AB120" s="242"/>
      <c r="AC120" s="242"/>
      <c r="AD120" s="242"/>
      <c r="AE120" s="242"/>
      <c r="AF120" s="242"/>
      <c r="AG120" s="242"/>
      <c r="AH120" s="242"/>
      <c r="AI120" s="242"/>
      <c r="AJ120" s="242"/>
      <c r="AK120" s="413"/>
      <c r="AL120" s="195"/>
      <c r="AM120" s="133"/>
      <c r="AN120" s="134"/>
      <c r="AO120" s="134"/>
      <c r="AP120" s="134"/>
      <c r="AQ120" s="134"/>
      <c r="AR120" s="134"/>
      <c r="AS120" s="134"/>
      <c r="AT120" s="134"/>
      <c r="AU120" s="134"/>
      <c r="AV120" s="134"/>
      <c r="AW120" s="134"/>
      <c r="AX120" s="134"/>
      <c r="AY120" s="134"/>
    </row>
    <row r="121" spans="1:53" s="128" customFormat="1" ht="3.6" customHeight="1">
      <c r="A121" s="134"/>
      <c r="B121" s="199"/>
      <c r="C121" s="233"/>
      <c r="D121" s="195"/>
      <c r="E121" s="195"/>
      <c r="F121" s="195"/>
      <c r="G121" s="195"/>
      <c r="H121" s="195"/>
      <c r="I121" s="195"/>
      <c r="J121" s="195"/>
      <c r="K121" s="195"/>
      <c r="L121" s="195"/>
      <c r="M121" s="195"/>
      <c r="N121" s="195"/>
      <c r="O121" s="195"/>
      <c r="P121" s="195"/>
      <c r="Q121" s="195"/>
      <c r="R121" s="195"/>
      <c r="S121" s="195"/>
      <c r="T121" s="195"/>
      <c r="U121" s="195"/>
      <c r="V121" s="195"/>
      <c r="W121" s="195"/>
      <c r="X121" s="195"/>
      <c r="Y121" s="195"/>
      <c r="Z121" s="195"/>
      <c r="AA121" s="195"/>
      <c r="AB121" s="195"/>
      <c r="AC121" s="195"/>
      <c r="AD121" s="195"/>
      <c r="AE121" s="195"/>
      <c r="AF121" s="195"/>
      <c r="AG121" s="195"/>
      <c r="AH121" s="195"/>
      <c r="AI121" s="195"/>
      <c r="AJ121" s="195"/>
      <c r="AK121" s="413"/>
      <c r="AL121" s="133"/>
      <c r="AM121" s="133"/>
      <c r="AN121" s="134"/>
      <c r="AO121" s="134"/>
      <c r="AP121" s="134"/>
      <c r="AQ121" s="134"/>
      <c r="AR121" s="134"/>
      <c r="AS121" s="134"/>
      <c r="AT121" s="134"/>
      <c r="AU121" s="134"/>
      <c r="AV121" s="134"/>
      <c r="AW121" s="134"/>
      <c r="AX121" s="134"/>
      <c r="AY121" s="134"/>
    </row>
    <row r="122" spans="1:53" s="128" customFormat="1" ht="15" customHeight="1">
      <c r="A122" s="134"/>
      <c r="B122" s="200"/>
      <c r="C122" s="243" t="s">
        <v>543</v>
      </c>
      <c r="D122" s="243"/>
      <c r="E122" s="287"/>
      <c r="F122" s="300"/>
      <c r="G122" s="243" t="s">
        <v>545</v>
      </c>
      <c r="H122" s="287"/>
      <c r="I122" s="300"/>
      <c r="J122" s="243" t="s">
        <v>10</v>
      </c>
      <c r="K122" s="287"/>
      <c r="L122" s="300"/>
      <c r="M122" s="243" t="s">
        <v>416</v>
      </c>
      <c r="N122" s="195"/>
      <c r="O122" s="330" t="s">
        <v>43</v>
      </c>
      <c r="P122" s="330"/>
      <c r="Q122" s="330"/>
      <c r="R122" s="334" t="str">
        <f>IF(H6="","",H6)</f>
        <v/>
      </c>
      <c r="S122" s="334"/>
      <c r="T122" s="334"/>
      <c r="U122" s="334"/>
      <c r="V122" s="334"/>
      <c r="W122" s="334"/>
      <c r="X122" s="334"/>
      <c r="Y122" s="334"/>
      <c r="Z122" s="334"/>
      <c r="AA122" s="334"/>
      <c r="AB122" s="334"/>
      <c r="AC122" s="334"/>
      <c r="AD122" s="334"/>
      <c r="AE122" s="334"/>
      <c r="AF122" s="334"/>
      <c r="AG122" s="334"/>
      <c r="AH122" s="334"/>
      <c r="AI122" s="334"/>
      <c r="AJ122" s="380"/>
      <c r="AK122" s="414"/>
      <c r="AL122" s="246"/>
      <c r="AM122" s="133"/>
      <c r="AN122" s="133"/>
      <c r="AO122" s="133"/>
      <c r="AP122" s="133"/>
      <c r="AQ122" s="133"/>
      <c r="AR122" s="133"/>
      <c r="AS122" s="133"/>
      <c r="AT122" s="133"/>
      <c r="AU122" s="133"/>
      <c r="AV122" s="133"/>
      <c r="AW122" s="421"/>
      <c r="AX122" s="133"/>
      <c r="AY122" s="133"/>
      <c r="AZ122" s="44"/>
    </row>
    <row r="123" spans="1:53" s="128" customFormat="1" ht="14.45" customHeight="1">
      <c r="A123" s="133"/>
      <c r="B123" s="200"/>
      <c r="C123" s="244"/>
      <c r="D123" s="243"/>
      <c r="E123" s="243"/>
      <c r="F123" s="243"/>
      <c r="G123" s="243"/>
      <c r="H123" s="243"/>
      <c r="I123" s="243"/>
      <c r="J123" s="243"/>
      <c r="K123" s="243"/>
      <c r="L123" s="243"/>
      <c r="M123" s="243"/>
      <c r="N123" s="329" t="s">
        <v>548</v>
      </c>
      <c r="O123" s="329"/>
      <c r="P123" s="329"/>
      <c r="Q123" s="329"/>
      <c r="R123" s="335" t="s">
        <v>112</v>
      </c>
      <c r="S123" s="335"/>
      <c r="T123" s="341" t="str">
        <f>IF(基本情報入力シート!L20="","",基本情報入力シート!L20)</f>
        <v/>
      </c>
      <c r="U123" s="341"/>
      <c r="V123" s="341"/>
      <c r="W123" s="341"/>
      <c r="X123" s="341"/>
      <c r="Y123" s="351" t="s">
        <v>121</v>
      </c>
      <c r="Z123" s="351"/>
      <c r="AA123" s="341" t="str">
        <f>IF(基本情報入力シート!L21="","",基本情報入力シート!L21)</f>
        <v/>
      </c>
      <c r="AB123" s="341"/>
      <c r="AC123" s="341"/>
      <c r="AD123" s="341"/>
      <c r="AE123" s="341"/>
      <c r="AF123" s="341"/>
      <c r="AG123" s="341"/>
      <c r="AH123" s="341"/>
      <c r="AI123" s="341"/>
      <c r="AJ123" s="244"/>
      <c r="AK123" s="415"/>
      <c r="AL123" s="246"/>
      <c r="AM123" s="246"/>
      <c r="AN123" s="133"/>
      <c r="AO123" s="133"/>
      <c r="AP123" s="133"/>
      <c r="AQ123" s="133"/>
      <c r="AR123" s="133"/>
      <c r="AS123" s="133"/>
      <c r="AT123" s="133"/>
      <c r="AU123" s="133"/>
      <c r="AV123" s="133"/>
      <c r="AW123" s="421"/>
      <c r="AX123" s="133"/>
      <c r="AY123" s="133"/>
      <c r="AZ123" s="44"/>
      <c r="BA123" s="44"/>
    </row>
    <row r="124" spans="1:53" ht="5.45" customHeight="1">
      <c r="A124" s="133"/>
      <c r="B124" s="201"/>
      <c r="C124" s="245"/>
      <c r="D124" s="267"/>
      <c r="E124" s="267"/>
      <c r="F124" s="267"/>
      <c r="G124" s="267"/>
      <c r="H124" s="267"/>
      <c r="I124" s="267"/>
      <c r="J124" s="267"/>
      <c r="K124" s="267"/>
      <c r="L124" s="267"/>
      <c r="M124" s="267"/>
      <c r="N124" s="267"/>
      <c r="O124" s="267"/>
      <c r="P124" s="267"/>
      <c r="Q124" s="245"/>
      <c r="R124" s="267"/>
      <c r="S124" s="337"/>
      <c r="T124" s="337"/>
      <c r="U124" s="337"/>
      <c r="V124" s="337"/>
      <c r="W124" s="337"/>
      <c r="X124" s="347"/>
      <c r="Y124" s="347"/>
      <c r="Z124" s="347"/>
      <c r="AA124" s="347"/>
      <c r="AB124" s="347"/>
      <c r="AC124" s="347"/>
      <c r="AD124" s="347"/>
      <c r="AE124" s="347"/>
      <c r="AF124" s="347"/>
      <c r="AG124" s="347"/>
      <c r="AH124" s="347"/>
      <c r="AI124" s="347"/>
      <c r="AJ124" s="381"/>
      <c r="AK124" s="416"/>
      <c r="AL124" s="246"/>
      <c r="AM124" s="246"/>
      <c r="AN124" s="133"/>
      <c r="AO124" s="133"/>
      <c r="AP124" s="133"/>
      <c r="AQ124" s="133"/>
      <c r="AR124" s="133"/>
      <c r="AS124" s="133"/>
      <c r="AT124" s="133"/>
      <c r="AU124" s="133"/>
      <c r="AV124" s="133"/>
      <c r="AW124" s="421"/>
      <c r="AX124" s="133"/>
      <c r="AY124" s="133"/>
    </row>
    <row r="125" spans="1:53" ht="1.9" customHeight="1">
      <c r="A125" s="133"/>
      <c r="B125" s="202"/>
      <c r="C125" s="246"/>
      <c r="D125" s="202"/>
      <c r="E125" s="202"/>
      <c r="F125" s="202"/>
      <c r="G125" s="202"/>
      <c r="H125" s="202"/>
      <c r="I125" s="202"/>
      <c r="J125" s="202"/>
      <c r="K125" s="202"/>
      <c r="L125" s="202"/>
      <c r="M125" s="202"/>
      <c r="N125" s="202"/>
      <c r="O125" s="202"/>
      <c r="P125" s="202"/>
      <c r="Q125" s="246"/>
      <c r="R125" s="202"/>
      <c r="S125" s="338"/>
      <c r="T125" s="338"/>
      <c r="U125" s="338"/>
      <c r="V125" s="338"/>
      <c r="W125" s="338"/>
      <c r="X125" s="348"/>
      <c r="Y125" s="348"/>
      <c r="Z125" s="348"/>
      <c r="AA125" s="348"/>
      <c r="AB125" s="348"/>
      <c r="AC125" s="348"/>
      <c r="AD125" s="348"/>
      <c r="AE125" s="348"/>
      <c r="AF125" s="348"/>
      <c r="AG125" s="348"/>
      <c r="AH125" s="348"/>
      <c r="AI125" s="348"/>
      <c r="AJ125" s="382"/>
      <c r="AK125" s="246"/>
      <c r="AL125" s="246"/>
      <c r="AM125" s="246"/>
      <c r="AN125" s="133"/>
      <c r="AO125" s="133"/>
      <c r="AP125" s="133"/>
      <c r="AQ125" s="133"/>
      <c r="AR125" s="133"/>
      <c r="AS125" s="133"/>
      <c r="AT125" s="133"/>
      <c r="AU125" s="133"/>
      <c r="AV125" s="133"/>
      <c r="AW125" s="421"/>
      <c r="AX125" s="133"/>
      <c r="AY125" s="133"/>
    </row>
    <row r="126" spans="1:53" ht="15.6" customHeight="1">
      <c r="A126" s="134"/>
      <c r="B126" s="203" t="s">
        <v>549</v>
      </c>
      <c r="C126" s="202"/>
      <c r="D126" s="134"/>
      <c r="E126" s="134"/>
      <c r="F126" s="141" t="s">
        <v>561</v>
      </c>
      <c r="G126" s="133"/>
      <c r="H126" s="133"/>
      <c r="I126" s="133"/>
      <c r="J126" s="133"/>
      <c r="K126" s="133"/>
      <c r="L126" s="133"/>
      <c r="M126" s="133"/>
      <c r="N126" s="133"/>
      <c r="O126" s="133"/>
      <c r="P126" s="133"/>
      <c r="Q126" s="133"/>
      <c r="R126" s="133"/>
      <c r="S126" s="133"/>
      <c r="T126" s="133"/>
      <c r="U126" s="133"/>
      <c r="V126" s="133"/>
      <c r="W126" s="133"/>
      <c r="X126" s="133"/>
      <c r="Y126" s="133"/>
      <c r="Z126" s="133"/>
      <c r="AA126" s="133"/>
      <c r="AB126" s="133"/>
      <c r="AC126" s="133"/>
      <c r="AD126" s="133"/>
      <c r="AE126" s="133"/>
      <c r="AF126" s="133"/>
      <c r="AG126" s="133"/>
      <c r="AH126" s="133"/>
      <c r="AI126" s="133"/>
      <c r="AJ126" s="133"/>
      <c r="AK126" s="133"/>
      <c r="AL126" s="133"/>
      <c r="AM126" s="246"/>
      <c r="AN126" s="134"/>
      <c r="AO126" s="134"/>
      <c r="AP126" s="134"/>
      <c r="AQ126" s="134"/>
      <c r="AR126" s="134"/>
      <c r="AS126" s="134"/>
      <c r="AT126" s="134"/>
      <c r="AU126" s="134"/>
      <c r="AV126" s="134"/>
      <c r="AW126" s="134"/>
      <c r="AX126" s="134"/>
      <c r="AY126" s="134"/>
      <c r="AZ126" s="128"/>
    </row>
    <row r="127" spans="1:53" s="128" customFormat="1" ht="15" customHeight="1">
      <c r="A127" s="133"/>
      <c r="B127" s="189" t="s">
        <v>206</v>
      </c>
      <c r="C127" s="247" t="s">
        <v>562</v>
      </c>
      <c r="D127" s="133"/>
      <c r="E127" s="133"/>
      <c r="F127" s="133"/>
      <c r="G127" s="133"/>
      <c r="H127" s="133"/>
      <c r="I127" s="133"/>
      <c r="J127" s="133"/>
      <c r="K127" s="133"/>
      <c r="L127" s="133"/>
      <c r="M127" s="133"/>
      <c r="N127" s="133"/>
      <c r="O127" s="133"/>
      <c r="P127" s="133"/>
      <c r="Q127" s="133"/>
      <c r="R127" s="133"/>
      <c r="S127" s="133"/>
      <c r="T127" s="133"/>
      <c r="U127" s="133"/>
      <c r="V127" s="133"/>
      <c r="W127" s="133"/>
      <c r="X127" s="133"/>
      <c r="Y127" s="133"/>
      <c r="Z127" s="133"/>
      <c r="AA127" s="133"/>
      <c r="AB127" s="133"/>
      <c r="AC127" s="133"/>
      <c r="AD127" s="133"/>
      <c r="AE127" s="133"/>
      <c r="AF127" s="133"/>
      <c r="AG127" s="133"/>
      <c r="AH127" s="133"/>
      <c r="AI127" s="133"/>
      <c r="AJ127" s="133"/>
      <c r="AK127" s="133"/>
      <c r="AL127" s="133"/>
      <c r="AM127" s="133"/>
      <c r="AN127" s="133"/>
      <c r="AO127" s="133"/>
      <c r="AP127" s="133"/>
      <c r="AQ127" s="133"/>
      <c r="AR127" s="133"/>
      <c r="AS127" s="133"/>
      <c r="AT127" s="133"/>
      <c r="AU127" s="133"/>
      <c r="AV127" s="133"/>
      <c r="AW127" s="133"/>
      <c r="AX127" s="133"/>
      <c r="AY127" s="133"/>
      <c r="AZ127" s="44"/>
    </row>
    <row r="128" spans="1:53" ht="12.75" customHeight="1">
      <c r="A128" s="138"/>
      <c r="B128" s="189" t="s">
        <v>535</v>
      </c>
      <c r="C128" s="247" t="s">
        <v>560</v>
      </c>
      <c r="D128" s="138"/>
      <c r="E128" s="138"/>
      <c r="F128" s="138"/>
      <c r="G128" s="138"/>
      <c r="H128" s="138"/>
      <c r="I128" s="138"/>
      <c r="J128" s="138"/>
      <c r="K128" s="138"/>
      <c r="L128" s="138"/>
      <c r="M128" s="138"/>
      <c r="N128" s="138"/>
      <c r="O128" s="138"/>
      <c r="P128" s="138"/>
      <c r="Q128" s="138"/>
      <c r="R128" s="138"/>
      <c r="S128" s="138"/>
      <c r="T128" s="138"/>
      <c r="U128" s="138"/>
      <c r="V128" s="138"/>
      <c r="W128" s="138"/>
      <c r="X128" s="138"/>
      <c r="Y128" s="138"/>
      <c r="Z128" s="138"/>
      <c r="AA128" s="138"/>
      <c r="AB128" s="138"/>
      <c r="AC128" s="138"/>
      <c r="AD128" s="138"/>
      <c r="AE128" s="138"/>
      <c r="AF128" s="138"/>
      <c r="AG128" s="138"/>
      <c r="AH128" s="138"/>
      <c r="AI128" s="138"/>
      <c r="AJ128" s="138"/>
      <c r="AK128" s="138"/>
      <c r="AL128" s="138"/>
      <c r="AM128" s="133"/>
      <c r="AN128" s="138"/>
      <c r="AO128" s="138"/>
      <c r="AP128" s="138"/>
      <c r="AQ128" s="138"/>
      <c r="AR128" s="138"/>
      <c r="AS128" s="138"/>
      <c r="AT128" s="138"/>
      <c r="AU128" s="138"/>
      <c r="AV128" s="138"/>
      <c r="AW128" s="138"/>
      <c r="AX128" s="138"/>
      <c r="AY128" s="138"/>
      <c r="AZ128" s="131"/>
    </row>
    <row r="129" spans="1:38" s="131" customFormat="1" ht="4.1500000000000004" customHeight="1">
      <c r="A129" s="133"/>
      <c r="B129" s="141"/>
      <c r="C129" s="202"/>
      <c r="D129" s="133"/>
      <c r="E129" s="133"/>
      <c r="F129" s="133"/>
      <c r="G129" s="133"/>
      <c r="H129" s="133"/>
      <c r="I129" s="133"/>
      <c r="J129" s="133"/>
      <c r="K129" s="133"/>
      <c r="L129" s="133"/>
      <c r="M129" s="133"/>
      <c r="N129" s="133"/>
      <c r="O129" s="133"/>
      <c r="P129" s="133"/>
      <c r="Q129" s="133"/>
      <c r="R129" s="133"/>
      <c r="S129" s="133"/>
      <c r="T129" s="133"/>
      <c r="U129" s="133"/>
      <c r="V129" s="133"/>
      <c r="W129" s="133"/>
      <c r="X129" s="133"/>
      <c r="Y129" s="133"/>
      <c r="Z129" s="133"/>
      <c r="AA129" s="133"/>
      <c r="AB129" s="133"/>
      <c r="AC129" s="133"/>
      <c r="AD129" s="133"/>
      <c r="AE129" s="133"/>
      <c r="AF129" s="133"/>
      <c r="AG129" s="133"/>
      <c r="AH129" s="133"/>
      <c r="AI129" s="133"/>
      <c r="AJ129" s="133"/>
      <c r="AK129" s="133"/>
      <c r="AL129" s="133"/>
    </row>
    <row r="130" spans="1:38" ht="10.9" customHeight="1">
      <c r="A130" s="133"/>
      <c r="B130" s="204" t="s">
        <v>554</v>
      </c>
      <c r="C130" s="248"/>
      <c r="D130" s="248"/>
      <c r="E130" s="248"/>
      <c r="F130" s="248"/>
      <c r="G130" s="248"/>
      <c r="H130" s="248"/>
      <c r="I130" s="248"/>
      <c r="J130" s="248"/>
      <c r="K130" s="248"/>
      <c r="L130" s="248"/>
      <c r="M130" s="248"/>
      <c r="N130" s="248"/>
      <c r="O130" s="248"/>
      <c r="P130" s="248"/>
      <c r="Q130" s="248"/>
      <c r="R130" s="248"/>
      <c r="S130" s="248"/>
      <c r="T130" s="248"/>
      <c r="U130" s="248"/>
      <c r="V130" s="248"/>
      <c r="W130" s="248"/>
      <c r="X130" s="248"/>
      <c r="Y130" s="248"/>
      <c r="Z130" s="248"/>
      <c r="AA130" s="248"/>
      <c r="AB130" s="248"/>
      <c r="AC130" s="248"/>
      <c r="AD130" s="248"/>
      <c r="AE130" s="248"/>
      <c r="AF130" s="248"/>
      <c r="AG130" s="248"/>
      <c r="AH130" s="248"/>
      <c r="AI130" s="248"/>
      <c r="AJ130" s="248"/>
      <c r="AK130" s="417"/>
      <c r="AL130" s="133"/>
    </row>
    <row r="131" spans="1:38">
      <c r="A131" s="133"/>
      <c r="B131" s="205" t="s">
        <v>195</v>
      </c>
      <c r="C131" s="249"/>
      <c r="D131" s="249"/>
      <c r="E131" s="249"/>
      <c r="F131" s="249"/>
      <c r="G131" s="249"/>
      <c r="H131" s="249"/>
      <c r="I131" s="249"/>
      <c r="J131" s="249"/>
      <c r="K131" s="249"/>
      <c r="L131" s="249"/>
      <c r="M131" s="249"/>
      <c r="N131" s="249"/>
      <c r="O131" s="249"/>
      <c r="P131" s="249"/>
      <c r="Q131" s="249"/>
      <c r="R131" s="249"/>
      <c r="S131" s="249"/>
      <c r="T131" s="249"/>
      <c r="U131" s="249"/>
      <c r="V131" s="249"/>
      <c r="W131" s="249"/>
      <c r="X131" s="249"/>
      <c r="Y131" s="249"/>
      <c r="Z131" s="249"/>
      <c r="AA131" s="249"/>
      <c r="AB131" s="249"/>
      <c r="AC131" s="249"/>
      <c r="AD131" s="249"/>
      <c r="AE131" s="249"/>
      <c r="AF131" s="249"/>
      <c r="AG131" s="249"/>
      <c r="AH131" s="249"/>
      <c r="AI131" s="249"/>
      <c r="AJ131" s="383"/>
      <c r="AK131" s="418" t="str">
        <f>Y17</f>
        <v/>
      </c>
      <c r="AL131" s="133"/>
    </row>
    <row r="132" spans="1:38">
      <c r="A132" s="133"/>
      <c r="B132" s="133"/>
      <c r="C132" s="133"/>
      <c r="D132" s="133"/>
      <c r="E132" s="133"/>
      <c r="F132" s="133"/>
      <c r="G132" s="133"/>
      <c r="H132" s="133"/>
      <c r="I132" s="133"/>
      <c r="J132" s="133"/>
      <c r="K132" s="133"/>
      <c r="L132" s="133"/>
      <c r="M132" s="133"/>
      <c r="N132" s="133"/>
      <c r="O132" s="133"/>
      <c r="P132" s="133"/>
      <c r="Q132" s="133"/>
      <c r="R132" s="133"/>
      <c r="S132" s="133"/>
      <c r="T132" s="133"/>
      <c r="U132" s="133"/>
      <c r="V132" s="133"/>
      <c r="W132" s="133"/>
      <c r="X132" s="133"/>
      <c r="Y132" s="133"/>
      <c r="Z132" s="133"/>
      <c r="AA132" s="133"/>
      <c r="AB132" s="133"/>
      <c r="AC132" s="133"/>
      <c r="AD132" s="133"/>
      <c r="AE132" s="133"/>
      <c r="AF132" s="133"/>
      <c r="AG132" s="133"/>
      <c r="AH132" s="133"/>
      <c r="AI132" s="133"/>
      <c r="AJ132" s="133"/>
      <c r="AK132" s="133"/>
      <c r="AL132" s="133"/>
    </row>
    <row r="133" spans="1:38" ht="13.15" customHeight="1">
      <c r="A133" s="136"/>
      <c r="B133" s="204" t="s">
        <v>572</v>
      </c>
      <c r="C133" s="248"/>
      <c r="D133" s="248"/>
      <c r="E133" s="248"/>
      <c r="F133" s="248"/>
      <c r="G133" s="248"/>
      <c r="H133" s="248"/>
      <c r="I133" s="248"/>
      <c r="J133" s="248"/>
      <c r="K133" s="248"/>
      <c r="L133" s="248"/>
      <c r="M133" s="248"/>
      <c r="N133" s="248"/>
      <c r="O133" s="248"/>
      <c r="P133" s="248"/>
      <c r="Q133" s="248"/>
      <c r="R133" s="248"/>
      <c r="S133" s="248"/>
      <c r="T133" s="248"/>
      <c r="U133" s="248"/>
      <c r="V133" s="248"/>
      <c r="W133" s="248"/>
      <c r="X133" s="248"/>
      <c r="Y133" s="248"/>
      <c r="Z133" s="248"/>
      <c r="AA133" s="248"/>
      <c r="AB133" s="248"/>
      <c r="AC133" s="248"/>
      <c r="AD133" s="248"/>
      <c r="AE133" s="248"/>
      <c r="AF133" s="248"/>
      <c r="AG133" s="248"/>
      <c r="AH133" s="248"/>
      <c r="AI133" s="248"/>
      <c r="AJ133" s="248"/>
      <c r="AK133" s="417"/>
      <c r="AL133" s="133"/>
    </row>
    <row r="134" spans="1:38" s="130" customFormat="1" ht="15" customHeight="1">
      <c r="A134" s="136"/>
      <c r="B134" s="206" t="s">
        <v>574</v>
      </c>
      <c r="C134" s="250" t="s">
        <v>12</v>
      </c>
      <c r="D134" s="268"/>
      <c r="E134" s="268"/>
      <c r="F134" s="268"/>
      <c r="G134" s="268"/>
      <c r="H134" s="268"/>
      <c r="I134" s="317"/>
      <c r="J134" s="323" t="s">
        <v>72</v>
      </c>
      <c r="K134" s="323"/>
      <c r="L134" s="323"/>
      <c r="M134" s="323"/>
      <c r="N134" s="323"/>
      <c r="O134" s="323"/>
      <c r="P134" s="323"/>
      <c r="Q134" s="323"/>
      <c r="R134" s="323"/>
      <c r="S134" s="323"/>
      <c r="T134" s="323"/>
      <c r="U134" s="323"/>
      <c r="V134" s="323"/>
      <c r="W134" s="323"/>
      <c r="X134" s="323"/>
      <c r="Y134" s="323"/>
      <c r="Z134" s="323"/>
      <c r="AA134" s="323"/>
      <c r="AB134" s="323"/>
      <c r="AC134" s="323"/>
      <c r="AD134" s="323"/>
      <c r="AE134" s="323"/>
      <c r="AF134" s="323"/>
      <c r="AG134" s="323"/>
      <c r="AH134" s="323"/>
      <c r="AI134" s="323"/>
      <c r="AJ134" s="384"/>
      <c r="AK134" s="418" t="str">
        <f>IF(H6="","",IF(AND(AK24="○",AB25="○"),"○","×"))</f>
        <v/>
      </c>
      <c r="AL134" s="133"/>
    </row>
    <row r="135" spans="1:38" s="130" customFormat="1" ht="25.9" customHeight="1">
      <c r="A135" s="136"/>
      <c r="B135" s="206" t="s">
        <v>576</v>
      </c>
      <c r="C135" s="251" t="s">
        <v>580</v>
      </c>
      <c r="D135" s="269"/>
      <c r="E135" s="269"/>
      <c r="F135" s="269"/>
      <c r="G135" s="269"/>
      <c r="H135" s="269"/>
      <c r="I135" s="318"/>
      <c r="J135" s="324" t="s">
        <v>583</v>
      </c>
      <c r="K135" s="324"/>
      <c r="L135" s="324"/>
      <c r="M135" s="324"/>
      <c r="N135" s="324"/>
      <c r="O135" s="324"/>
      <c r="P135" s="324"/>
      <c r="Q135" s="324"/>
      <c r="R135" s="324"/>
      <c r="S135" s="324"/>
      <c r="T135" s="324"/>
      <c r="U135" s="324"/>
      <c r="V135" s="324"/>
      <c r="W135" s="324"/>
      <c r="X135" s="324"/>
      <c r="Y135" s="324"/>
      <c r="Z135" s="324"/>
      <c r="AA135" s="324"/>
      <c r="AB135" s="324"/>
      <c r="AC135" s="324"/>
      <c r="AD135" s="324"/>
      <c r="AE135" s="324"/>
      <c r="AF135" s="324"/>
      <c r="AG135" s="324"/>
      <c r="AH135" s="324"/>
      <c r="AI135" s="324"/>
      <c r="AJ135" s="385"/>
      <c r="AK135" s="418" t="str">
        <f>IF(H6="","",IF(OR(AK32="○",AND(AK32="×",AK33="✓")),"○","×"))</f>
        <v/>
      </c>
      <c r="AL135" s="423"/>
    </row>
    <row r="136" spans="1:38" s="130" customFormat="1" ht="24" customHeight="1">
      <c r="A136" s="134"/>
      <c r="B136" s="207" t="s">
        <v>585</v>
      </c>
      <c r="C136" s="251" t="s">
        <v>587</v>
      </c>
      <c r="D136" s="269"/>
      <c r="E136" s="269"/>
      <c r="F136" s="269"/>
      <c r="G136" s="269"/>
      <c r="H136" s="269"/>
      <c r="I136" s="318"/>
      <c r="J136" s="324" t="s">
        <v>590</v>
      </c>
      <c r="K136" s="324"/>
      <c r="L136" s="324"/>
      <c r="M136" s="324"/>
      <c r="N136" s="324"/>
      <c r="O136" s="324"/>
      <c r="P136" s="324"/>
      <c r="Q136" s="324"/>
      <c r="R136" s="324"/>
      <c r="S136" s="324"/>
      <c r="T136" s="324"/>
      <c r="U136" s="324"/>
      <c r="V136" s="324"/>
      <c r="W136" s="324"/>
      <c r="X136" s="324"/>
      <c r="Y136" s="324"/>
      <c r="Z136" s="324"/>
      <c r="AA136" s="324"/>
      <c r="AB136" s="324"/>
      <c r="AC136" s="324"/>
      <c r="AD136" s="324"/>
      <c r="AE136" s="324"/>
      <c r="AF136" s="324"/>
      <c r="AG136" s="324"/>
      <c r="AH136" s="324"/>
      <c r="AI136" s="324"/>
      <c r="AJ136" s="385"/>
      <c r="AK136" s="418" t="str">
        <f>IF(H6="","",IF(AND(BA36=0,BE36=0),"",IF(OR(AK36="○",AND(AK36="×",AK37="✓")),"○","×")))</f>
        <v/>
      </c>
      <c r="AL136" s="133"/>
    </row>
    <row r="137" spans="1:38" s="128" customFormat="1" ht="26.25" customHeight="1">
      <c r="A137" s="134"/>
      <c r="B137" s="207" t="s">
        <v>597</v>
      </c>
      <c r="C137" s="251" t="s">
        <v>251</v>
      </c>
      <c r="D137" s="269"/>
      <c r="E137" s="269"/>
      <c r="F137" s="269"/>
      <c r="G137" s="269"/>
      <c r="H137" s="269"/>
      <c r="I137" s="318"/>
      <c r="J137" s="324" t="s">
        <v>599</v>
      </c>
      <c r="K137" s="324"/>
      <c r="L137" s="324"/>
      <c r="M137" s="324"/>
      <c r="N137" s="324"/>
      <c r="O137" s="324"/>
      <c r="P137" s="324"/>
      <c r="Q137" s="324"/>
      <c r="R137" s="324"/>
      <c r="S137" s="324"/>
      <c r="T137" s="324"/>
      <c r="U137" s="324"/>
      <c r="V137" s="324"/>
      <c r="W137" s="324"/>
      <c r="X137" s="324"/>
      <c r="Y137" s="324"/>
      <c r="Z137" s="324"/>
      <c r="AA137" s="324"/>
      <c r="AB137" s="324"/>
      <c r="AC137" s="324"/>
      <c r="AD137" s="324"/>
      <c r="AE137" s="324"/>
      <c r="AF137" s="324"/>
      <c r="AG137" s="324"/>
      <c r="AH137" s="324"/>
      <c r="AI137" s="324"/>
      <c r="AJ137" s="385"/>
      <c r="AK137" s="418" t="str">
        <f>IF(H6="","",IF(AND(BA40=0,BE40=0),"",IF(OR(AK40="○",AK43="○"),"○","×")))</f>
        <v/>
      </c>
      <c r="AL137" s="133"/>
    </row>
    <row r="138" spans="1:38" s="128" customFormat="1" ht="18" customHeight="1">
      <c r="A138" s="134"/>
      <c r="B138" s="207" t="s">
        <v>601</v>
      </c>
      <c r="C138" s="251" t="s">
        <v>436</v>
      </c>
      <c r="D138" s="269"/>
      <c r="E138" s="269"/>
      <c r="F138" s="269"/>
      <c r="G138" s="269"/>
      <c r="H138" s="269"/>
      <c r="I138" s="318"/>
      <c r="J138" s="323" t="s">
        <v>608</v>
      </c>
      <c r="K138" s="323"/>
      <c r="L138" s="323"/>
      <c r="M138" s="323"/>
      <c r="N138" s="323"/>
      <c r="O138" s="323"/>
      <c r="P138" s="323"/>
      <c r="Q138" s="323"/>
      <c r="R138" s="323"/>
      <c r="S138" s="323"/>
      <c r="T138" s="323"/>
      <c r="U138" s="323"/>
      <c r="V138" s="323"/>
      <c r="W138" s="323"/>
      <c r="X138" s="323"/>
      <c r="Y138" s="323"/>
      <c r="Z138" s="323"/>
      <c r="AA138" s="323"/>
      <c r="AB138" s="323"/>
      <c r="AC138" s="323"/>
      <c r="AD138" s="323"/>
      <c r="AE138" s="323"/>
      <c r="AF138" s="323"/>
      <c r="AG138" s="323"/>
      <c r="AH138" s="323"/>
      <c r="AI138" s="323"/>
      <c r="AJ138" s="384"/>
      <c r="AK138" s="418" t="str">
        <f>IF(H6="","",AK51)</f>
        <v/>
      </c>
      <c r="AL138" s="423"/>
    </row>
    <row r="139" spans="1:38" s="128" customFormat="1" ht="22.15" customHeight="1">
      <c r="A139" s="134"/>
      <c r="B139" s="207" t="s">
        <v>612</v>
      </c>
      <c r="C139" s="252" t="s">
        <v>613</v>
      </c>
      <c r="D139" s="270"/>
      <c r="E139" s="270"/>
      <c r="F139" s="270"/>
      <c r="G139" s="270"/>
      <c r="H139" s="270"/>
      <c r="I139" s="319"/>
      <c r="J139" s="324" t="s">
        <v>616</v>
      </c>
      <c r="K139" s="324"/>
      <c r="L139" s="324"/>
      <c r="M139" s="324"/>
      <c r="N139" s="324"/>
      <c r="O139" s="324"/>
      <c r="P139" s="324"/>
      <c r="Q139" s="324"/>
      <c r="R139" s="324"/>
      <c r="S139" s="324"/>
      <c r="T139" s="324"/>
      <c r="U139" s="324"/>
      <c r="V139" s="324"/>
      <c r="W139" s="324"/>
      <c r="X139" s="324"/>
      <c r="Y139" s="324"/>
      <c r="Z139" s="324"/>
      <c r="AA139" s="324"/>
      <c r="AB139" s="324"/>
      <c r="AC139" s="324"/>
      <c r="AD139" s="324"/>
      <c r="AE139" s="324"/>
      <c r="AF139" s="324"/>
      <c r="AG139" s="324"/>
      <c r="AH139" s="324"/>
      <c r="AI139" s="324"/>
      <c r="AJ139" s="385"/>
      <c r="AK139" s="418" t="str">
        <f>IF(H6="","",IF(OR(AK54="○",AK56="○"),"○","×"))</f>
        <v/>
      </c>
      <c r="AL139" s="133"/>
    </row>
    <row r="140" spans="1:38" s="128" customFormat="1">
      <c r="A140" s="134"/>
      <c r="B140" s="207"/>
      <c r="C140" s="253"/>
      <c r="D140" s="271"/>
      <c r="E140" s="271"/>
      <c r="F140" s="271"/>
      <c r="G140" s="271"/>
      <c r="H140" s="271"/>
      <c r="I140" s="320"/>
      <c r="J140" s="323" t="s">
        <v>620</v>
      </c>
      <c r="K140" s="323"/>
      <c r="L140" s="323"/>
      <c r="M140" s="323"/>
      <c r="N140" s="323"/>
      <c r="O140" s="323"/>
      <c r="P140" s="323"/>
      <c r="Q140" s="323"/>
      <c r="R140" s="323"/>
      <c r="S140" s="323"/>
      <c r="T140" s="323"/>
      <c r="U140" s="323"/>
      <c r="V140" s="323"/>
      <c r="W140" s="323"/>
      <c r="X140" s="323"/>
      <c r="Y140" s="323"/>
      <c r="Z140" s="323"/>
      <c r="AA140" s="323"/>
      <c r="AB140" s="323"/>
      <c r="AC140" s="323"/>
      <c r="AD140" s="323"/>
      <c r="AE140" s="323"/>
      <c r="AF140" s="323"/>
      <c r="AG140" s="323"/>
      <c r="AH140" s="323"/>
      <c r="AI140" s="323"/>
      <c r="AJ140" s="384"/>
      <c r="AK140" s="418" t="str">
        <f>IF(H6="","",AK96)</f>
        <v/>
      </c>
      <c r="AL140" s="133"/>
    </row>
    <row r="141" spans="1:38" ht="15" customHeight="1">
      <c r="A141" s="133"/>
      <c r="B141" s="208" t="s">
        <v>622</v>
      </c>
      <c r="C141" s="254" t="s">
        <v>623</v>
      </c>
      <c r="D141" s="254"/>
      <c r="E141" s="254"/>
      <c r="F141" s="254"/>
      <c r="G141" s="254"/>
      <c r="H141" s="254"/>
      <c r="I141" s="254"/>
      <c r="J141" s="325" t="s">
        <v>358</v>
      </c>
      <c r="K141" s="325"/>
      <c r="L141" s="325"/>
      <c r="M141" s="325"/>
      <c r="N141" s="325"/>
      <c r="O141" s="325"/>
      <c r="P141" s="325"/>
      <c r="Q141" s="325"/>
      <c r="R141" s="325"/>
      <c r="S141" s="325"/>
      <c r="T141" s="325"/>
      <c r="U141" s="325"/>
      <c r="V141" s="325"/>
      <c r="W141" s="325"/>
      <c r="X141" s="325"/>
      <c r="Y141" s="325"/>
      <c r="Z141" s="325"/>
      <c r="AA141" s="325"/>
      <c r="AB141" s="325"/>
      <c r="AC141" s="325"/>
      <c r="AD141" s="325"/>
      <c r="AE141" s="325"/>
      <c r="AF141" s="325"/>
      <c r="AG141" s="325"/>
      <c r="AH141" s="325"/>
      <c r="AI141" s="325"/>
      <c r="AJ141" s="386"/>
      <c r="AK141" s="419" t="str">
        <f>IF(H6="","",AK102)</f>
        <v/>
      </c>
      <c r="AL141" s="133"/>
    </row>
    <row r="142" spans="1:38" s="128" customFormat="1">
      <c r="A142" s="133"/>
      <c r="B142" s="133"/>
      <c r="C142" s="133"/>
      <c r="D142" s="133"/>
      <c r="E142" s="133"/>
      <c r="F142" s="133"/>
      <c r="G142" s="133"/>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row>
    <row r="143" spans="1:38" ht="16.899999999999999" customHeight="1">
      <c r="A143" s="133"/>
      <c r="B143" s="204" t="s">
        <v>624</v>
      </c>
      <c r="C143" s="248"/>
      <c r="D143" s="248"/>
      <c r="E143" s="248"/>
      <c r="F143" s="248"/>
      <c r="G143" s="248"/>
      <c r="H143" s="248"/>
      <c r="I143" s="248"/>
      <c r="J143" s="248"/>
      <c r="K143" s="248"/>
      <c r="L143" s="248"/>
      <c r="M143" s="248"/>
      <c r="N143" s="248"/>
      <c r="O143" s="248"/>
      <c r="P143" s="248"/>
      <c r="Q143" s="248"/>
      <c r="R143" s="248"/>
      <c r="S143" s="248"/>
      <c r="T143" s="248"/>
      <c r="U143" s="248"/>
      <c r="V143" s="248"/>
      <c r="W143" s="248"/>
      <c r="X143" s="248"/>
      <c r="Y143" s="248"/>
      <c r="Z143" s="248"/>
      <c r="AA143" s="248"/>
      <c r="AB143" s="248"/>
      <c r="AC143" s="248"/>
      <c r="AD143" s="248"/>
      <c r="AE143" s="248"/>
      <c r="AF143" s="248"/>
      <c r="AG143" s="248"/>
      <c r="AH143" s="248"/>
      <c r="AI143" s="248"/>
      <c r="AJ143" s="248"/>
      <c r="AK143" s="417"/>
      <c r="AL143" s="133"/>
    </row>
    <row r="144" spans="1:38" ht="13.15" customHeight="1">
      <c r="A144" s="133"/>
      <c r="B144" s="209" t="s">
        <v>206</v>
      </c>
      <c r="C144" s="255" t="s">
        <v>631</v>
      </c>
      <c r="D144" s="272"/>
      <c r="E144" s="272"/>
      <c r="F144" s="272"/>
      <c r="G144" s="272"/>
      <c r="H144" s="272"/>
      <c r="I144" s="272"/>
      <c r="J144" s="272"/>
      <c r="K144" s="272"/>
      <c r="L144" s="272"/>
      <c r="M144" s="272"/>
      <c r="N144" s="272"/>
      <c r="O144" s="272"/>
      <c r="P144" s="272"/>
      <c r="Q144" s="272"/>
      <c r="R144" s="272"/>
      <c r="S144" s="272"/>
      <c r="T144" s="272"/>
      <c r="U144" s="272"/>
      <c r="V144" s="272"/>
      <c r="W144" s="272"/>
      <c r="X144" s="272"/>
      <c r="Y144" s="272"/>
      <c r="Z144" s="272"/>
      <c r="AA144" s="272"/>
      <c r="AB144" s="272"/>
      <c r="AC144" s="272"/>
      <c r="AD144" s="272"/>
      <c r="AE144" s="272"/>
      <c r="AF144" s="272"/>
      <c r="AG144" s="272"/>
      <c r="AH144" s="272"/>
      <c r="AI144" s="272"/>
      <c r="AJ144" s="387"/>
      <c r="AK144" s="418" t="str">
        <f>IF(H6="","",AK106)</f>
        <v/>
      </c>
      <c r="AL144" s="133"/>
    </row>
    <row r="145" spans="1:38" ht="13.15" customHeight="1">
      <c r="A145" s="133"/>
      <c r="B145" s="210" t="s">
        <v>206</v>
      </c>
      <c r="C145" s="256" t="s">
        <v>634</v>
      </c>
      <c r="D145" s="273"/>
      <c r="E145" s="273"/>
      <c r="F145" s="273"/>
      <c r="G145" s="273"/>
      <c r="H145" s="273"/>
      <c r="I145" s="273"/>
      <c r="J145" s="273"/>
      <c r="K145" s="273"/>
      <c r="L145" s="273"/>
      <c r="M145" s="273"/>
      <c r="N145" s="273"/>
      <c r="O145" s="273"/>
      <c r="P145" s="273"/>
      <c r="Q145" s="273"/>
      <c r="R145" s="273"/>
      <c r="S145" s="273"/>
      <c r="T145" s="273"/>
      <c r="U145" s="273"/>
      <c r="V145" s="273"/>
      <c r="W145" s="273"/>
      <c r="X145" s="273"/>
      <c r="Y145" s="273"/>
      <c r="Z145" s="273"/>
      <c r="AA145" s="273"/>
      <c r="AB145" s="273"/>
      <c r="AC145" s="273"/>
      <c r="AD145" s="273"/>
      <c r="AE145" s="273"/>
      <c r="AF145" s="273"/>
      <c r="AG145" s="273"/>
      <c r="AH145" s="273"/>
      <c r="AI145" s="273"/>
      <c r="AJ145" s="388"/>
      <c r="AK145" s="418" t="str">
        <f>IF(H6="","",AK118)</f>
        <v/>
      </c>
      <c r="AL145" s="133"/>
    </row>
    <row r="146" spans="1:38" ht="4.5" customHeight="1">
      <c r="A146" s="133"/>
      <c r="B146" s="133"/>
      <c r="C146" s="133"/>
      <c r="D146" s="133"/>
      <c r="E146" s="133"/>
      <c r="F146" s="133"/>
      <c r="G146" s="133"/>
      <c r="H146" s="133"/>
      <c r="I146" s="133"/>
      <c r="J146" s="133"/>
      <c r="K146" s="133"/>
      <c r="L146" s="133"/>
      <c r="M146" s="133"/>
      <c r="N146" s="133"/>
      <c r="O146" s="133"/>
      <c r="P146" s="133"/>
      <c r="Q146" s="133"/>
      <c r="R146" s="133"/>
      <c r="S146" s="133"/>
      <c r="T146" s="133"/>
      <c r="U146" s="133"/>
      <c r="V146" s="133"/>
      <c r="W146" s="133"/>
      <c r="X146" s="133"/>
      <c r="Y146" s="133"/>
      <c r="Z146" s="133"/>
      <c r="AA146" s="133"/>
      <c r="AB146" s="133"/>
      <c r="AC146" s="133"/>
      <c r="AD146" s="133"/>
      <c r="AE146" s="133"/>
      <c r="AF146" s="133"/>
      <c r="AG146" s="133"/>
      <c r="AH146" s="133"/>
      <c r="AI146" s="133"/>
      <c r="AJ146" s="133"/>
      <c r="AK146" s="133"/>
      <c r="AL146" s="133"/>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2" customFormat="1"/>
    <row r="161" s="132" customFormat="1"/>
    <row r="162" s="132"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9"/>
  </mergeCells>
  <phoneticPr fontId="21"/>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AND($AK$136="",$H$6&lt;&gt;"")</formula>
    </cfRule>
  </conditionalFormatting>
  <conditionalFormatting sqref="AK137">
    <cfRule type="expression" dxfId="50" priority="63">
      <formula>AND($AK$137="",$H$6&lt;&gt;"")</formula>
    </cfRule>
  </conditionalFormatting>
  <conditionalFormatting sqref="AK138">
    <cfRule type="expression" dxfId="49" priority="62">
      <formula>AND($AK$138="",$H$6&lt;&gt;"")</formula>
    </cfRule>
  </conditionalFormatting>
  <conditionalFormatting sqref="AK140">
    <cfRule type="expression" dxfId="48" priority="61">
      <formula>AND($AK$140="",$H$6&lt;&gt;"")</formula>
    </cfRule>
  </conditionalFormatting>
  <conditionalFormatting sqref="AK141">
    <cfRule type="expression" dxfId="47" priority="47">
      <formula>AND(AK141="",$H$7&lt;&gt;"")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OR(AND($AI$58="該当",$BA$65&gt;=2),AND($AI$58="",$BA$65&gt;=1))</formula>
    </cfRule>
  </conditionalFormatting>
  <conditionalFormatting sqref="AM69:AX70">
    <cfRule type="expression" dxfId="43" priority="10">
      <formula>OR(AND($AI$58="該当",$BA$69&gt;=2),AND($AI$58="",$BA$69&gt;=1))</formula>
    </cfRule>
  </conditionalFormatting>
  <conditionalFormatting sqref="AM73:AX74">
    <cfRule type="expression" dxfId="42" priority="4">
      <formula>OR(AND($AI$58="該当",$BA$73&gt;=2),AND($AI$58="",$BA$73&gt;=1))</formula>
    </cfRule>
  </conditionalFormatting>
  <conditionalFormatting sqref="AM77:AX78">
    <cfRule type="expression" dxfId="41" priority="3">
      <formula>OR(AND($AI$58="該当",$BA$77&gt;=2),AND($AI$58="",$BA$77&gt;=1))</formula>
    </cfRule>
  </conditionalFormatting>
  <conditionalFormatting sqref="AM81:AX81">
    <cfRule type="expression" dxfId="40" priority="1">
      <formula>OR($AI$58="",$E$81&lt;&gt;"",$E$82&lt;&gt;"")</formula>
    </cfRule>
  </conditionalFormatting>
  <conditionalFormatting sqref="AM83:AX84">
    <cfRule type="expression" dxfId="39" priority="86">
      <formula>OR(AND($AI$58="該当",$BA$81&gt;=3),AND($AI$58="",$BA$81&gt;=2))</formula>
    </cfRule>
  </conditionalFormatting>
  <conditionalFormatting sqref="AM90:AX91">
    <cfRule type="expression" dxfId="38" priority="2">
      <formula>OR(AND($AI$58="該当",$BA$90&gt;=2),AND($AI$58="",$BA$90&gt;=1))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79" fitToWidth="1" fitToHeight="0" orientation="portrait" usePrinterDefaults="1" r:id="rId1"/>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9525</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9525</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9525</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28575</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238125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A9AD641C-6509-4CA2-8444-B176C2C260BA}">
            <xm:f>OR('別紙様式2-2（個票（４、５月））'!$BG$12=1,'別紙様式2-3（個票（６月以降））'!$BL$12=1)</xm:f>
            <x14:dxf>
              <font>
                <color theme="0" tint="-5.e-002"/>
              </font>
              <fill>
                <patternFill patternType="solid">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300"/>
  <sheetViews>
    <sheetView view="pageBreakPreview" topLeftCell="A13" zoomScale="25" zoomScaleNormal="42" zoomScaleSheetLayoutView="25" workbookViewId="0">
      <selection activeCell="AI108" sqref="AI108"/>
    </sheetView>
  </sheetViews>
  <sheetFormatPr defaultColWidth="2.5" defaultRowHeight="16.2"/>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0.75" style="482" customWidth="1"/>
    <col min="15" max="15" width="12" style="100" customWidth="1"/>
    <col min="16" max="16" width="6.5" style="483" customWidth="1"/>
    <col min="17" max="17" width="3" style="100"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2.87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3.875" style="487" customWidth="1"/>
    <col min="35" max="35" width="24" style="488" customWidth="1"/>
    <col min="36" max="36" width="21.5" style="489" customWidth="1"/>
    <col min="37" max="40" width="22.5" style="486" customWidth="1"/>
    <col min="41" max="41" width="21.5" style="490" customWidth="1"/>
    <col min="42" max="42" width="16.5" style="490" customWidth="1"/>
    <col min="43" max="43" width="18.5" style="491" customWidth="1"/>
    <col min="44" max="44" width="21.5" style="490" customWidth="1"/>
    <col min="45" max="45" width="16.5" style="491" customWidth="1"/>
    <col min="46" max="46" width="14.5" style="491" customWidth="1"/>
    <col min="47" max="47" width="16.625" style="491" customWidth="1"/>
    <col min="48" max="48" width="25.125" style="491" customWidth="1"/>
    <col min="49" max="49" width="11.5" style="491" customWidth="1"/>
    <col min="50" max="50" width="19.875" style="491" customWidth="1"/>
    <col min="51" max="51" width="17" style="491" customWidth="1"/>
    <col min="52" max="52" width="10" style="491" customWidth="1"/>
    <col min="53" max="53" width="16.125" style="491" customWidth="1"/>
    <col min="54" max="54" width="16.5" style="491" customWidth="1"/>
    <col min="55" max="55" width="10" style="492" customWidth="1"/>
    <col min="56" max="57" width="10" style="491" customWidth="1"/>
    <col min="58" max="58" width="12.875" style="491" customWidth="1"/>
    <col min="59" max="59" width="14.5" style="491" customWidth="1"/>
    <col min="60" max="60" width="13.875" style="127" bestFit="1" customWidth="1"/>
    <col min="61" max="61" width="15.5" style="491" customWidth="1"/>
    <col min="62" max="62" width="12.875" style="491" customWidth="1"/>
    <col min="63" max="63" width="11.5" style="491" customWidth="1"/>
    <col min="64" max="66" width="6.875" style="491" customWidth="1"/>
    <col min="67" max="67" width="6.875" style="493" customWidth="1"/>
    <col min="68" max="68" width="22.125" customWidth="1"/>
  </cols>
  <sheetData>
    <row r="1" spans="1:68" s="494" customFormat="1" ht="29.25" customHeight="1">
      <c r="A1" s="497" t="s">
        <v>639</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26</v>
      </c>
      <c r="AJ1" s="389" t="str">
        <f>IF(基本情報入力シート!C11="","",基本情報入力シート!C11)</f>
        <v/>
      </c>
      <c r="AK1" s="640"/>
      <c r="AL1" s="640"/>
      <c r="AM1" s="640"/>
      <c r="AN1" s="640"/>
      <c r="AO1" s="657"/>
      <c r="AP1" s="640"/>
      <c r="AQ1" s="658"/>
      <c r="AR1" s="657"/>
      <c r="AS1" s="658"/>
      <c r="AT1" s="658"/>
      <c r="AU1" s="658"/>
      <c r="AV1" s="658"/>
      <c r="AW1" s="658"/>
      <c r="AX1" s="658"/>
      <c r="AY1" s="658"/>
      <c r="AZ1" s="658"/>
      <c r="BA1" s="658"/>
      <c r="BB1" s="658"/>
      <c r="BC1" s="668"/>
      <c r="BD1" s="658"/>
      <c r="BE1" s="658"/>
      <c r="BF1" s="658"/>
      <c r="BG1" s="675"/>
      <c r="BH1" s="676"/>
    </row>
    <row r="2" spans="1:68" s="494" customFormat="1"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P2" s="648"/>
      <c r="AQ2" s="658"/>
      <c r="AR2" s="641"/>
      <c r="AS2" s="658"/>
      <c r="AT2" s="658"/>
      <c r="AU2" s="658"/>
      <c r="AV2" s="658"/>
      <c r="AW2" s="658"/>
      <c r="AX2" s="658"/>
      <c r="AY2" s="658"/>
      <c r="AZ2" s="658"/>
      <c r="BA2" s="658"/>
      <c r="BB2" s="658"/>
      <c r="BC2" s="668"/>
      <c r="BD2" s="658"/>
      <c r="BE2" s="658"/>
      <c r="BF2" s="658"/>
      <c r="BG2" s="675"/>
      <c r="BH2" s="676"/>
    </row>
    <row r="3" spans="1:68" s="494" customFormat="1" ht="27" customHeight="1">
      <c r="A3" s="499" t="s">
        <v>43</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P3" s="648"/>
      <c r="AQ3" s="662"/>
      <c r="AR3" s="641"/>
      <c r="AS3" s="662"/>
      <c r="AT3" s="662"/>
      <c r="AU3" s="658"/>
      <c r="AV3" s="658"/>
      <c r="AW3" s="658"/>
      <c r="AX3" s="658"/>
      <c r="AY3" s="658"/>
      <c r="AZ3" s="658"/>
      <c r="BA3" s="658"/>
      <c r="BB3" s="658"/>
      <c r="BC3" s="668"/>
      <c r="BD3" s="658"/>
      <c r="BE3" s="658"/>
      <c r="BF3" s="658"/>
      <c r="BG3" s="658"/>
      <c r="BH3" s="676"/>
      <c r="BI3" s="658"/>
      <c r="BJ3" s="658"/>
      <c r="BK3" s="675"/>
    </row>
    <row r="4" spans="1:68" s="494" customFormat="1"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645</v>
      </c>
      <c r="AF4" s="611"/>
      <c r="AG4" s="611"/>
      <c r="AH4" s="611"/>
      <c r="AI4" s="611"/>
      <c r="AJ4" s="611"/>
      <c r="AK4" s="641"/>
      <c r="AL4" s="641"/>
      <c r="AM4" s="641"/>
      <c r="AN4" s="641"/>
      <c r="AO4" s="641"/>
      <c r="AP4" s="648"/>
      <c r="AQ4" s="658"/>
      <c r="AR4" s="641"/>
      <c r="AS4" s="658"/>
      <c r="AT4" s="658"/>
      <c r="AU4" s="658"/>
      <c r="AV4" s="658"/>
      <c r="AW4" s="658"/>
      <c r="AX4" s="658"/>
      <c r="AY4" s="658"/>
      <c r="AZ4" s="658"/>
      <c r="BA4" s="658"/>
      <c r="BB4" s="658"/>
      <c r="BC4" s="668"/>
      <c r="BD4" s="658"/>
      <c r="BE4" s="658"/>
      <c r="BF4" s="658"/>
      <c r="BG4" s="658"/>
      <c r="BH4" s="676"/>
      <c r="BI4" s="658"/>
      <c r="BJ4" s="658"/>
      <c r="BK4" s="675"/>
    </row>
    <row r="5" spans="1:68" s="494" customFormat="1" ht="35.25" customHeight="1">
      <c r="A5" s="501" t="s">
        <v>646</v>
      </c>
      <c r="B5" s="510"/>
      <c r="C5" s="510"/>
      <c r="D5" s="510"/>
      <c r="E5" s="510"/>
      <c r="F5" s="510"/>
      <c r="G5" s="510"/>
      <c r="H5" s="510"/>
      <c r="I5" s="510"/>
      <c r="J5" s="510"/>
      <c r="K5" s="545"/>
      <c r="L5" s="550">
        <f>IFERROR(SUM(AB:AB),"")</f>
        <v>0</v>
      </c>
      <c r="M5" s="557"/>
      <c r="N5" s="564" t="s">
        <v>125</v>
      </c>
      <c r="O5" s="140"/>
      <c r="P5" s="577"/>
      <c r="Q5" s="576"/>
      <c r="R5" s="571"/>
      <c r="S5" s="2"/>
      <c r="T5" s="583"/>
      <c r="U5" s="583"/>
      <c r="V5" s="583"/>
      <c r="W5" s="583"/>
      <c r="X5" s="583"/>
      <c r="Y5" s="583"/>
      <c r="Z5" s="583"/>
      <c r="AA5" s="583"/>
      <c r="AB5" s="583"/>
      <c r="AC5" s="583"/>
      <c r="AD5" s="604"/>
      <c r="AE5" s="612" t="s">
        <v>655</v>
      </c>
      <c r="AF5" s="620"/>
      <c r="AG5" s="620"/>
      <c r="AH5" s="620"/>
      <c r="AI5" s="628"/>
      <c r="AJ5" s="634">
        <f>COUNTIFS(AT:AT,"対象",BH:BH,"その他",K:K,"&lt;&gt;*短期入所*")</f>
        <v>0</v>
      </c>
      <c r="AK5" s="642"/>
      <c r="AL5" s="642"/>
      <c r="AM5" s="642"/>
      <c r="AN5" s="642"/>
      <c r="AO5" s="643"/>
      <c r="AP5" s="660"/>
      <c r="AQ5" s="658"/>
      <c r="AR5" s="643"/>
      <c r="AS5" s="658"/>
      <c r="AT5" s="658"/>
      <c r="AU5" s="658"/>
      <c r="AV5" s="658"/>
      <c r="AW5" s="658"/>
      <c r="AX5" s="658"/>
      <c r="AY5" s="658"/>
      <c r="AZ5" s="658"/>
      <c r="BA5" s="658"/>
      <c r="BB5" s="658"/>
      <c r="BC5" s="668"/>
      <c r="BD5" s="658"/>
      <c r="BE5" s="658"/>
      <c r="BF5" s="658"/>
      <c r="BG5" s="658"/>
      <c r="BH5" s="676"/>
      <c r="BI5" s="658"/>
      <c r="BJ5" s="658"/>
      <c r="BK5" s="675"/>
    </row>
    <row r="6" spans="1:68" s="494" customFormat="1" ht="35.25" customHeight="1">
      <c r="A6" s="502"/>
      <c r="B6" s="511" t="s">
        <v>653</v>
      </c>
      <c r="C6" s="518"/>
      <c r="D6" s="518"/>
      <c r="E6" s="518"/>
      <c r="F6" s="518"/>
      <c r="G6" s="518"/>
      <c r="H6" s="518"/>
      <c r="I6" s="518"/>
      <c r="J6" s="518"/>
      <c r="K6" s="546"/>
      <c r="L6" s="550">
        <f>IFERROR(SUM(AC:AC),"")</f>
        <v>0</v>
      </c>
      <c r="M6" s="557"/>
      <c r="N6" s="564" t="s">
        <v>125</v>
      </c>
      <c r="O6" s="563"/>
      <c r="P6" s="577"/>
      <c r="Q6" s="576"/>
      <c r="R6" s="571"/>
      <c r="S6" s="2"/>
      <c r="T6" s="583"/>
      <c r="U6" s="583"/>
      <c r="V6" s="583"/>
      <c r="W6" s="583"/>
      <c r="X6" s="583"/>
      <c r="Y6" s="583"/>
      <c r="Z6" s="583"/>
      <c r="AA6" s="583"/>
      <c r="AB6" s="583"/>
      <c r="AC6" s="583"/>
      <c r="AD6" s="604"/>
      <c r="AE6" s="612" t="s">
        <v>315</v>
      </c>
      <c r="AF6" s="620"/>
      <c r="AG6" s="620"/>
      <c r="AH6" s="620"/>
      <c r="AI6" s="628"/>
      <c r="AJ6" s="635">
        <f>SUMIFS(AG:AG,AT:AT,"対象",BH:BH,"その他",K:K,"&lt;&gt;*短期入所*")</f>
        <v>0</v>
      </c>
      <c r="AK6" s="643"/>
      <c r="AL6" s="643"/>
      <c r="AM6" s="643"/>
      <c r="AN6" s="643"/>
      <c r="AO6" s="643"/>
      <c r="AP6" s="660"/>
      <c r="AQ6" s="658"/>
      <c r="AR6" s="643"/>
      <c r="AS6" s="658"/>
      <c r="AT6" s="658"/>
      <c r="AU6" s="665"/>
      <c r="AV6" s="665"/>
      <c r="AW6" s="665"/>
      <c r="AX6" s="666"/>
      <c r="AY6" s="666"/>
      <c r="AZ6" s="666"/>
      <c r="BA6" s="666"/>
      <c r="BB6" s="666"/>
      <c r="BC6" s="666"/>
      <c r="BD6" s="666"/>
      <c r="BE6" s="666"/>
      <c r="BF6" s="666"/>
      <c r="BG6" s="666"/>
      <c r="BH6" s="666"/>
      <c r="BI6" s="666"/>
      <c r="BJ6" s="666"/>
      <c r="BK6" s="666"/>
      <c r="BL6" s="666"/>
      <c r="BM6" s="666"/>
      <c r="BN6" s="666"/>
      <c r="BO6" s="666"/>
    </row>
    <row r="7" spans="1:68" s="494" customFormat="1" ht="35.25" customHeight="1">
      <c r="A7" s="503" t="s">
        <v>656</v>
      </c>
      <c r="B7" s="503"/>
      <c r="C7" s="503"/>
      <c r="D7" s="503"/>
      <c r="E7" s="503"/>
      <c r="F7" s="503"/>
      <c r="G7" s="503"/>
      <c r="H7" s="503"/>
      <c r="I7" s="503"/>
      <c r="J7" s="503"/>
      <c r="K7" s="503"/>
      <c r="L7" s="503"/>
      <c r="M7" s="503"/>
      <c r="N7" s="565"/>
      <c r="O7" s="563"/>
      <c r="P7" s="577"/>
      <c r="Q7" s="576"/>
      <c r="R7" s="571"/>
      <c r="S7" s="2"/>
      <c r="T7" s="583"/>
      <c r="U7" s="583"/>
      <c r="V7" s="583"/>
      <c r="W7" s="583"/>
      <c r="X7" s="583"/>
      <c r="Y7" s="583"/>
      <c r="Z7" s="583"/>
      <c r="AA7" s="583"/>
      <c r="AB7" s="583"/>
      <c r="AC7" s="583"/>
      <c r="AD7" s="604"/>
      <c r="AE7" s="612" t="s">
        <v>347</v>
      </c>
      <c r="AF7" s="620"/>
      <c r="AG7" s="620"/>
      <c r="AH7" s="620"/>
      <c r="AI7" s="628"/>
      <c r="AJ7" s="635">
        <f>COUNTIFS(AT:AT,"対象",BH:BH,"その他",K:K,"&lt;&gt;*短期入所*",AG:AG,0,AH:AH,"令和８年度特例要件*")</f>
        <v>0</v>
      </c>
      <c r="AK7" s="643"/>
      <c r="AL7" s="643"/>
      <c r="AM7" s="643"/>
      <c r="AN7" s="643"/>
      <c r="AO7" s="643"/>
      <c r="AP7" s="660"/>
      <c r="AQ7" s="658"/>
      <c r="AR7" s="643"/>
      <c r="AS7" s="658"/>
      <c r="AT7" s="658"/>
      <c r="AU7" s="665"/>
      <c r="AV7" s="665"/>
      <c r="AW7" s="665"/>
      <c r="AX7" s="666"/>
      <c r="AY7" s="666"/>
      <c r="AZ7" s="666"/>
      <c r="BA7" s="666"/>
      <c r="BB7" s="666"/>
      <c r="BC7" s="669"/>
      <c r="BD7" s="666"/>
      <c r="BE7" s="666"/>
      <c r="BF7" s="666"/>
      <c r="BG7" s="666"/>
      <c r="BH7" s="677"/>
      <c r="BI7" s="666"/>
      <c r="BJ7" s="666"/>
      <c r="BK7" s="666"/>
      <c r="BL7" s="666"/>
      <c r="BM7" s="666"/>
      <c r="BN7" s="666"/>
      <c r="BO7" s="666"/>
    </row>
    <row r="8" spans="1:68" s="494" customFormat="1"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63"/>
      <c r="AR8" s="663"/>
      <c r="AS8" s="663"/>
      <c r="AT8" s="663"/>
      <c r="AU8" s="663"/>
      <c r="AV8" s="663"/>
      <c r="AW8" s="663"/>
      <c r="AX8" s="663"/>
      <c r="AY8" s="663"/>
      <c r="AZ8" s="663"/>
      <c r="BA8" s="663"/>
      <c r="BB8" s="663"/>
      <c r="BC8" s="663"/>
      <c r="BD8" s="663"/>
      <c r="BE8" s="663"/>
      <c r="BF8" s="663"/>
      <c r="BG8" s="663"/>
      <c r="BH8" s="663"/>
      <c r="BI8" s="663"/>
      <c r="BJ8" s="663"/>
      <c r="BK8" s="663"/>
    </row>
    <row r="9" spans="1:68" s="495" customFormat="1" ht="31.9" customHeight="1">
      <c r="A9" s="133"/>
      <c r="B9" s="512"/>
      <c r="C9" s="512"/>
      <c r="D9" s="512"/>
      <c r="E9" s="512"/>
      <c r="F9" s="512"/>
      <c r="G9" s="133"/>
      <c r="H9" s="133"/>
      <c r="I9" s="540"/>
      <c r="J9" s="133"/>
      <c r="K9" s="2"/>
      <c r="L9" s="133"/>
      <c r="M9" s="184"/>
      <c r="N9" s="566"/>
      <c r="O9" s="571"/>
      <c r="P9" s="2"/>
      <c r="Q9" s="583"/>
      <c r="R9" s="583"/>
      <c r="S9" s="583"/>
      <c r="T9" s="583"/>
      <c r="U9" s="583"/>
      <c r="V9" s="583"/>
      <c r="W9" s="583"/>
      <c r="X9" s="583"/>
      <c r="Y9" s="583"/>
      <c r="Z9" s="583"/>
      <c r="AA9" s="583"/>
      <c r="AB9" s="594"/>
      <c r="AC9" s="599" t="str">
        <f>IF(D3="","",IFERROR(IF(COUNTIF(AP12:AP111,"未入力")=0,"○","×"),""))</f>
        <v/>
      </c>
      <c r="AD9" s="606"/>
      <c r="AE9" s="613" t="str">
        <f>IF(D3="","",IFERROR(IF(COUNTIF(AQ:AQ,"未入力")=0,"○","×"),""))</f>
        <v/>
      </c>
      <c r="AF9" s="613" t="str">
        <f>IF(D3="","",IFERROR(IF(COUNTIF(AS:AS,"未入力")=0,"○","×"),""))</f>
        <v/>
      </c>
      <c r="AG9" s="599" t="str">
        <f>IF(D3="","",IFERROR(IF(COUNTIF(AW:AW,"未入力")=0,"○","×"),""))</f>
        <v/>
      </c>
      <c r="AH9" s="606"/>
      <c r="AI9" s="629" t="str">
        <f>IF(D3="","",IF(COUNTIF(AZ:AZ,"未入力")=0,"○","×"))</f>
        <v/>
      </c>
      <c r="AJ9" s="629" t="str">
        <f>IF(D3="","",IF(BF12=0,"",IF(COUNTIF(BC:BC,"未入力")=0,"○","×")))</f>
        <v/>
      </c>
      <c r="AK9" s="644"/>
      <c r="AL9" s="644"/>
      <c r="AM9" s="641"/>
      <c r="AN9" s="641"/>
      <c r="BA9" s="667"/>
      <c r="BB9" s="667"/>
      <c r="BC9" s="670"/>
      <c r="BD9" s="667"/>
      <c r="BE9" s="667"/>
      <c r="BF9" s="667"/>
      <c r="BG9" s="667"/>
      <c r="BH9" s="678"/>
      <c r="BI9" s="681"/>
    </row>
    <row r="10" spans="1:68" s="494" customFormat="1" ht="53.25" customHeight="1">
      <c r="A10" s="504"/>
      <c r="B10" s="513" t="s">
        <v>139</v>
      </c>
      <c r="C10" s="519"/>
      <c r="D10" s="519"/>
      <c r="E10" s="519"/>
      <c r="F10" s="526"/>
      <c r="G10" s="532" t="s">
        <v>178</v>
      </c>
      <c r="H10" s="536" t="s">
        <v>29</v>
      </c>
      <c r="I10" s="536"/>
      <c r="J10" s="542" t="s">
        <v>658</v>
      </c>
      <c r="K10" s="547" t="s">
        <v>131</v>
      </c>
      <c r="L10" s="551" t="s">
        <v>132</v>
      </c>
      <c r="M10" s="559" t="s">
        <v>663</v>
      </c>
      <c r="N10" s="567" t="s">
        <v>668</v>
      </c>
      <c r="O10" s="572" t="s">
        <v>669</v>
      </c>
      <c r="P10" s="579" t="s">
        <v>671</v>
      </c>
      <c r="Q10" s="584"/>
      <c r="R10" s="584"/>
      <c r="S10" s="584"/>
      <c r="T10" s="584"/>
      <c r="U10" s="584"/>
      <c r="V10" s="584"/>
      <c r="W10" s="584"/>
      <c r="X10" s="584"/>
      <c r="Y10" s="584"/>
      <c r="Z10" s="584"/>
      <c r="AA10" s="590"/>
      <c r="AB10" s="595" t="s">
        <v>672</v>
      </c>
      <c r="AC10" s="600" t="s">
        <v>674</v>
      </c>
      <c r="AD10" s="572"/>
      <c r="AE10" s="614" t="s">
        <v>582</v>
      </c>
      <c r="AF10" s="614" t="s">
        <v>677</v>
      </c>
      <c r="AG10" s="614" t="s">
        <v>414</v>
      </c>
      <c r="AH10" s="572"/>
      <c r="AI10" s="630" t="s">
        <v>218</v>
      </c>
      <c r="AJ10" s="636" t="s">
        <v>680</v>
      </c>
      <c r="AK10" s="646"/>
      <c r="AL10" s="646"/>
      <c r="AM10" s="651"/>
      <c r="AN10" s="654" t="s">
        <v>493</v>
      </c>
      <c r="AO10" s="659"/>
      <c r="AP10" s="648"/>
      <c r="AQ10" s="664"/>
      <c r="AR10" s="664"/>
      <c r="AS10" s="664"/>
      <c r="AT10" s="664"/>
      <c r="AU10" s="664"/>
      <c r="AV10" s="664"/>
      <c r="AW10" s="664"/>
      <c r="AX10" s="664"/>
      <c r="AY10" s="664"/>
      <c r="AZ10" s="664"/>
      <c r="BA10" s="664"/>
      <c r="BB10" s="664"/>
      <c r="BC10" s="668"/>
      <c r="BD10" s="664"/>
      <c r="BE10" s="664"/>
      <c r="BF10" s="664"/>
      <c r="BG10" s="664"/>
      <c r="BH10" s="676"/>
      <c r="BI10" s="658"/>
      <c r="BJ10" s="658"/>
      <c r="BK10" s="658"/>
      <c r="BL10" s="658"/>
      <c r="BM10" s="675"/>
      <c r="BN10" s="683"/>
    </row>
    <row r="11" spans="1:68" s="494" customFormat="1" ht="159.75" customHeight="1">
      <c r="A11" s="505"/>
      <c r="B11" s="514"/>
      <c r="C11" s="520"/>
      <c r="D11" s="520"/>
      <c r="E11" s="520"/>
      <c r="F11" s="527"/>
      <c r="G11" s="533"/>
      <c r="H11" s="537" t="s">
        <v>243</v>
      </c>
      <c r="I11" s="537" t="s">
        <v>558</v>
      </c>
      <c r="J11" s="543"/>
      <c r="K11" s="548"/>
      <c r="L11" s="552"/>
      <c r="M11" s="560"/>
      <c r="N11" s="568"/>
      <c r="O11" s="573"/>
      <c r="P11" s="580"/>
      <c r="Q11" s="585"/>
      <c r="R11" s="585"/>
      <c r="S11" s="585"/>
      <c r="T11" s="585"/>
      <c r="U11" s="585"/>
      <c r="V11" s="585"/>
      <c r="W11" s="585"/>
      <c r="X11" s="585"/>
      <c r="Y11" s="585"/>
      <c r="Z11" s="585"/>
      <c r="AA11" s="591"/>
      <c r="AB11" s="596"/>
      <c r="AC11" s="601" t="s">
        <v>20</v>
      </c>
      <c r="AD11" s="607" t="s">
        <v>3</v>
      </c>
      <c r="AE11" s="615" t="s">
        <v>34</v>
      </c>
      <c r="AF11" s="621" t="s">
        <v>681</v>
      </c>
      <c r="AG11" s="621" t="s">
        <v>686</v>
      </c>
      <c r="AH11" s="624" t="s">
        <v>116</v>
      </c>
      <c r="AI11" s="631" t="s">
        <v>688</v>
      </c>
      <c r="AJ11" s="637" t="s">
        <v>689</v>
      </c>
      <c r="AK11" s="645" t="s">
        <v>691</v>
      </c>
      <c r="AL11" s="649"/>
      <c r="AM11" s="652"/>
      <c r="AN11" s="655" t="s">
        <v>696</v>
      </c>
      <c r="AO11" s="655" t="s">
        <v>697</v>
      </c>
      <c r="AP11" s="655" t="s">
        <v>588</v>
      </c>
      <c r="AQ11" s="655" t="s">
        <v>449</v>
      </c>
      <c r="AR11" s="655" t="s">
        <v>698</v>
      </c>
      <c r="AS11" s="655" t="s">
        <v>184</v>
      </c>
      <c r="AT11" s="655" t="s">
        <v>703</v>
      </c>
      <c r="AU11" s="655" t="s">
        <v>1658</v>
      </c>
      <c r="AV11" s="655" t="s">
        <v>704</v>
      </c>
      <c r="AW11" s="655" t="s">
        <v>552</v>
      </c>
      <c r="AX11" s="655" t="s">
        <v>538</v>
      </c>
      <c r="AY11" s="655" t="s">
        <v>705</v>
      </c>
      <c r="AZ11" s="655" t="s">
        <v>706</v>
      </c>
      <c r="BA11" s="655" t="s">
        <v>578</v>
      </c>
      <c r="BB11" s="655" t="s">
        <v>709</v>
      </c>
      <c r="BC11" s="671" t="s">
        <v>405</v>
      </c>
      <c r="BD11" s="655" t="s">
        <v>294</v>
      </c>
      <c r="BE11" s="673" t="s">
        <v>713</v>
      </c>
      <c r="BF11" s="655" t="s">
        <v>716</v>
      </c>
      <c r="BG11" s="655" t="s">
        <v>718</v>
      </c>
      <c r="BH11" s="679" t="s">
        <v>769</v>
      </c>
    </row>
    <row r="12" spans="1:68" s="494" customFormat="1"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IF(基本情報入力シート!AG40="","",基本情報入力シート!AG40)</f>
        <v/>
      </c>
      <c r="N12" s="569"/>
      <c r="O12" s="574" t="str">
        <f>IFERROR(VLOOKUP(K12,'【参考】数式用'!$A$2:$F$57,MATCH(N12,'【参考】数式用'!$C$3:$F$3,0)+2,0),"")</f>
        <v/>
      </c>
      <c r="P12" s="581" t="s">
        <v>543</v>
      </c>
      <c r="Q12" s="586"/>
      <c r="R12" s="588" t="s">
        <v>75</v>
      </c>
      <c r="S12" s="586"/>
      <c r="T12" s="588" t="s">
        <v>159</v>
      </c>
      <c r="U12" s="586"/>
      <c r="V12" s="588" t="s">
        <v>75</v>
      </c>
      <c r="W12" s="586"/>
      <c r="X12" s="588" t="s">
        <v>722</v>
      </c>
      <c r="Y12" s="588" t="s">
        <v>161</v>
      </c>
      <c r="Z12" s="588" t="str">
        <f t="shared" ref="Z12:Z75" si="0">IF(Q12&gt;=1,(U12*12+W12)-(Q12*12+S12)+1,"")</f>
        <v/>
      </c>
      <c r="AA12" s="592" t="s">
        <v>6</v>
      </c>
      <c r="AB12" s="597" t="str">
        <f t="shared" ref="AB12:AB75" si="1">IFERROR(ROUNDDOWN(ROUND(L12*O12,0)*M12,0)*Z12,"")</f>
        <v/>
      </c>
      <c r="AC12" s="602" t="str">
        <f>IFERROR(ROUNDDOWN(ROUNDDOWN(ROUND(L12*VLOOKUP(K12,'【参考】数式用'!$A$4:$F$57,MATCH("処遇改善加算Ⅳ",'【参考】数式用'!$C$3:$F$3,0)+2,0),0)*M12,0)*Z12*0.5,0),"")</f>
        <v/>
      </c>
      <c r="AD12" s="608"/>
      <c r="AE12" s="616"/>
      <c r="AF12" s="616"/>
      <c r="AG12" s="622"/>
      <c r="AH12" s="625"/>
      <c r="AI12" s="632"/>
      <c r="AJ12" s="632"/>
      <c r="AK12" s="647"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50"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653"/>
      <c r="AN12" s="656" t="str">
        <f>IFERROR(VLOOKUP(K12,'【参考】数式用'!$A$2:$N$57,14,FALSE),"")</f>
        <v/>
      </c>
      <c r="AO12" s="656" t="str">
        <f t="shared" ref="AO12:AO75" si="3">IF(AND(K12&lt;&gt;"",AN12="加算対象"),"N列に色付け","")</f>
        <v/>
      </c>
      <c r="AP12" s="661" t="str">
        <f t="shared" ref="AP12:AP75" si="4">IF(AND(AC12&lt;&gt;0,AC12&lt;&gt;"",AN12="加算対象"),IF(AD12="○","入力済","未入力"),"")</f>
        <v/>
      </c>
      <c r="AQ12" s="661" t="str">
        <f t="shared" ref="AQ12:AQ75" si="5">IF(AND(N12&lt;&gt;"",AE12="",AN12="加算対象"),"未入力","入力済")</f>
        <v>入力済</v>
      </c>
      <c r="AR12" s="656" t="str">
        <f t="shared" ref="AR12:AR75" si="6">IF(AND(N12&lt;&gt;"",N12&lt;&gt;"処遇改善加算Ⅳ",AN12="加算対象"),"AF列に色付け","")</f>
        <v/>
      </c>
      <c r="AS12" s="661" t="str">
        <f t="shared" ref="AS12:AS75" si="7">IF(AND(N12&lt;&gt;"",N12&lt;&gt;"処遇改善加算Ⅳ",AF12=""),"未入力","入力済")</f>
        <v>入力済</v>
      </c>
      <c r="AT12" s="661" t="str">
        <f t="shared" ref="AT12:AT75" si="8">IF(OR(N12="処遇改善加算Ⅰ",N12="処遇改善加算Ⅱ"),"対象","")</f>
        <v/>
      </c>
      <c r="AU12" s="661" t="str">
        <f t="shared" ref="AU12:AU75" si="9">IF(AND(AN12="加算対象",N12&lt;&gt;"処遇改善加算Ⅲ",N12&lt;&gt;"処遇改善加算Ⅳ",N12&lt;&gt;"",AT12&lt;&gt;"対象外"),1,"")</f>
        <v/>
      </c>
      <c r="AV12" s="656" t="str">
        <f t="shared" ref="AV12:AV75" si="10">IF(AND(AU12=1,OR(AG12=0,AG12=""),AN12="加算対象"),"AH列に色付け","")</f>
        <v/>
      </c>
      <c r="AW12" s="656" t="str">
        <f t="shared" ref="AW12:AW75" si="11">IF(AND($AU12=1,$AV12="AH列に色付け",OR($AG12="",$AH12="")),"未入力",IF(AND($AU12=1,$AV12="",$AG12=""),"未入力","入力済"))</f>
        <v>入力済</v>
      </c>
      <c r="AX12" s="661" t="str">
        <f>IFERROR(VLOOKUP(K12,'【参考】数式用'!$AR$3:$AS$49,2,FALSE),"")</f>
        <v/>
      </c>
      <c r="AY12" s="656" t="str">
        <f t="shared" ref="AY12:AY75" si="12">IF(AND(AN12="加算対象",N12="処遇改善加算Ⅰ"),"AI列に色付け","")</f>
        <v/>
      </c>
      <c r="AZ12" s="656" t="str">
        <f t="shared" ref="AZ12:AZ28" si="13">IF(AND(N12="処遇改善加算Ⅰ",AI12=""),"未入力","入力済")</f>
        <v>入力済</v>
      </c>
      <c r="BA12" s="661" t="str">
        <f>IFERROR(VLOOKUP(K12,'【参考】数式用'!$AX$3:$AY$56,2,FALSE),"")</f>
        <v/>
      </c>
      <c r="BB12" s="656" t="str">
        <f t="shared" ref="BB12:BB75" si="14">IF(COUNTIF(AE12:AH12,"*令和８年度特例要件を*")&gt;0,"AJ列に色付け","")</f>
        <v/>
      </c>
      <c r="BC12" s="672" t="str">
        <f t="shared" ref="BC12:BC75" si="15">IF(AND(COUNTIF(AE12:AH12,"*令和８年度特例要件を*")&gt;0,AJ12=""),"未入力","入力済")</f>
        <v>入力済</v>
      </c>
      <c r="BD12" s="656" t="str">
        <f t="shared" ref="BD12:BD75" si="16">IF(BB12="AJ列に色付け","入力必要","")</f>
        <v/>
      </c>
      <c r="BE12" s="656" t="str">
        <f t="shared" ref="BE12:BE75" si="17">G12</f>
        <v/>
      </c>
      <c r="BF12" s="674">
        <f>IF(COUNTIF(BD:BD,"*入力必要*"),1,0)</f>
        <v>0</v>
      </c>
      <c r="BG12" s="674">
        <f>IF(COUNTIF(AH$12:AH$1048576,"*その他*"),1,0)</f>
        <v>0</v>
      </c>
      <c r="BH12" s="679" t="e">
        <f>VLOOKUP(K12,'【参考】数式用'!$A$2:$O$57,15,FALSE)</f>
        <v>#N/A</v>
      </c>
      <c r="BM12" s="682"/>
    </row>
    <row r="13" spans="1:68"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IF(基本情報入力シート!AG41="","",基本情報入力シート!AG41)</f>
        <v/>
      </c>
      <c r="N13" s="569"/>
      <c r="O13" s="574" t="str">
        <f>IFERROR(VLOOKUP(K13,'【参考】数式用'!$A$2:$F$57,MATCH(N13,'【参考】数式用'!$C$3:$F$3,0)+2,0),"")</f>
        <v/>
      </c>
      <c r="P13" s="581" t="s">
        <v>543</v>
      </c>
      <c r="Q13" s="586"/>
      <c r="R13" s="588" t="s">
        <v>75</v>
      </c>
      <c r="S13" s="586"/>
      <c r="T13" s="588" t="s">
        <v>159</v>
      </c>
      <c r="U13" s="586"/>
      <c r="V13" s="588" t="s">
        <v>75</v>
      </c>
      <c r="W13" s="586"/>
      <c r="X13" s="588" t="s">
        <v>722</v>
      </c>
      <c r="Y13" s="588" t="s">
        <v>161</v>
      </c>
      <c r="Z13" s="588" t="str">
        <f t="shared" si="0"/>
        <v/>
      </c>
      <c r="AA13" s="592" t="s">
        <v>6</v>
      </c>
      <c r="AB13" s="597" t="str">
        <f t="shared" si="1"/>
        <v/>
      </c>
      <c r="AC13" s="602" t="str">
        <f>IFERROR(ROUNDDOWN(ROUNDDOWN(ROUND(L13*VLOOKUP(K13,'【参考】数式用'!$A$4:$F$57,MATCH("処遇改善加算Ⅳ",'【参考】数式用'!$C$3:$F$3,0)+2,0),0)*M13,0)*Z13*0.5,0),"")</f>
        <v/>
      </c>
      <c r="AD13" s="608"/>
      <c r="AE13" s="616"/>
      <c r="AF13" s="616"/>
      <c r="AG13" s="622"/>
      <c r="AH13" s="625"/>
      <c r="AI13" s="632"/>
      <c r="AJ13" s="632"/>
      <c r="AK13" s="647" t="str">
        <f t="shared" si="2"/>
        <v/>
      </c>
      <c r="AL13" s="650" t="str">
        <f t="shared" ref="AL13:AL76" si="18">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653"/>
      <c r="AN13" s="656" t="str">
        <f>IFERROR(VLOOKUP(K13,'【参考】数式用'!$A$2:$N$57,14,FALSE),"")</f>
        <v/>
      </c>
      <c r="AO13" s="656" t="str">
        <f t="shared" si="3"/>
        <v/>
      </c>
      <c r="AP13" s="661" t="str">
        <f t="shared" si="4"/>
        <v/>
      </c>
      <c r="AQ13" s="661" t="str">
        <f t="shared" si="5"/>
        <v>入力済</v>
      </c>
      <c r="AR13" s="656" t="str">
        <f t="shared" si="6"/>
        <v/>
      </c>
      <c r="AS13" s="661" t="str">
        <f t="shared" si="7"/>
        <v>入力済</v>
      </c>
      <c r="AT13" s="661" t="str">
        <f t="shared" si="8"/>
        <v/>
      </c>
      <c r="AU13" s="661" t="str">
        <f t="shared" si="9"/>
        <v/>
      </c>
      <c r="AV13" s="656" t="str">
        <f t="shared" si="10"/>
        <v/>
      </c>
      <c r="AW13" s="656" t="str">
        <f t="shared" si="11"/>
        <v>入力済</v>
      </c>
      <c r="AX13" s="661" t="str">
        <f>IFERROR(VLOOKUP(K13,'【参考】数式用'!$AR$3:$AS$49,2,FALSE),"")</f>
        <v/>
      </c>
      <c r="AY13" s="656" t="str">
        <f t="shared" si="12"/>
        <v/>
      </c>
      <c r="AZ13" s="656" t="str">
        <f t="shared" si="13"/>
        <v>入力済</v>
      </c>
      <c r="BA13" s="661" t="str">
        <f>IFERROR(VLOOKUP(K13,'【参考】数式用'!$AX$3:$AY$56,2,FALSE),"")</f>
        <v/>
      </c>
      <c r="BB13" s="656" t="str">
        <f t="shared" si="14"/>
        <v/>
      </c>
      <c r="BC13" s="672" t="str">
        <f t="shared" si="15"/>
        <v>入力済</v>
      </c>
      <c r="BD13" s="656" t="str">
        <f t="shared" si="16"/>
        <v/>
      </c>
      <c r="BE13" s="656" t="str">
        <f t="shared" si="17"/>
        <v/>
      </c>
      <c r="BF13" s="658"/>
      <c r="BG13" s="658"/>
      <c r="BH13" s="680" t="e">
        <f>VLOOKUP(K13,'【参考】数式用'!$A$2:$O$57,15,FALSE)</f>
        <v>#N/A</v>
      </c>
      <c r="BI13" s="658"/>
      <c r="BJ13" s="658"/>
      <c r="BK13" s="658"/>
      <c r="BL13" s="658"/>
      <c r="BM13" s="658"/>
      <c r="BN13" s="658"/>
      <c r="BO13" s="675"/>
      <c r="BP13" s="494"/>
    </row>
    <row r="14" spans="1:68"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IF(基本情報入力シート!AG42="","",基本情報入力シート!AG42)</f>
        <v/>
      </c>
      <c r="N14" s="569"/>
      <c r="O14" s="574" t="str">
        <f>IFERROR(VLOOKUP(K14,'【参考】数式用'!$A$2:$F$57,MATCH(N14,'【参考】数式用'!$C$3:$F$3,0)+2,0),"")</f>
        <v/>
      </c>
      <c r="P14" s="581" t="s">
        <v>543</v>
      </c>
      <c r="Q14" s="586"/>
      <c r="R14" s="588" t="s">
        <v>75</v>
      </c>
      <c r="S14" s="586"/>
      <c r="T14" s="588" t="s">
        <v>159</v>
      </c>
      <c r="U14" s="586"/>
      <c r="V14" s="588" t="s">
        <v>75</v>
      </c>
      <c r="W14" s="586"/>
      <c r="X14" s="588" t="s">
        <v>722</v>
      </c>
      <c r="Y14" s="588" t="s">
        <v>161</v>
      </c>
      <c r="Z14" s="588" t="str">
        <f t="shared" si="0"/>
        <v/>
      </c>
      <c r="AA14" s="592" t="s">
        <v>6</v>
      </c>
      <c r="AB14" s="597" t="str">
        <f t="shared" si="1"/>
        <v/>
      </c>
      <c r="AC14" s="602" t="str">
        <f>IFERROR(ROUNDDOWN(ROUNDDOWN(ROUND(L14*VLOOKUP(K14,'【参考】数式用'!$A$4:$F$57,MATCH("処遇改善加算Ⅳ",'【参考】数式用'!$C$3:$F$3,0)+2,0),0)*M14,0)*Z14*0.5,0),"")</f>
        <v/>
      </c>
      <c r="AD14" s="608"/>
      <c r="AE14" s="616"/>
      <c r="AF14" s="616"/>
      <c r="AG14" s="622"/>
      <c r="AH14" s="625"/>
      <c r="AI14" s="632"/>
      <c r="AJ14" s="632"/>
      <c r="AK14" s="647" t="str">
        <f t="shared" si="2"/>
        <v/>
      </c>
      <c r="AL14" s="650" t="str">
        <f t="shared" si="18"/>
        <v/>
      </c>
      <c r="AM14" s="653"/>
      <c r="AN14" s="656" t="str">
        <f>IFERROR(VLOOKUP(K14,'【参考】数式用'!$A$2:$N$57,14,FALSE),"")</f>
        <v/>
      </c>
      <c r="AO14" s="656" t="str">
        <f t="shared" si="3"/>
        <v/>
      </c>
      <c r="AP14" s="661" t="str">
        <f t="shared" si="4"/>
        <v/>
      </c>
      <c r="AQ14" s="661" t="str">
        <f t="shared" si="5"/>
        <v>入力済</v>
      </c>
      <c r="AR14" s="656" t="str">
        <f t="shared" si="6"/>
        <v/>
      </c>
      <c r="AS14" s="661" t="str">
        <f t="shared" si="7"/>
        <v>入力済</v>
      </c>
      <c r="AT14" s="661" t="str">
        <f t="shared" si="8"/>
        <v/>
      </c>
      <c r="AU14" s="661" t="str">
        <f t="shared" si="9"/>
        <v/>
      </c>
      <c r="AV14" s="656" t="str">
        <f t="shared" si="10"/>
        <v/>
      </c>
      <c r="AW14" s="656" t="str">
        <f t="shared" si="11"/>
        <v>入力済</v>
      </c>
      <c r="AX14" s="661" t="str">
        <f>IFERROR(VLOOKUP(K14,'【参考】数式用'!$AR$3:$AS$49,2,FALSE),"")</f>
        <v/>
      </c>
      <c r="AY14" s="656" t="str">
        <f t="shared" si="12"/>
        <v/>
      </c>
      <c r="AZ14" s="656" t="str">
        <f t="shared" si="13"/>
        <v>入力済</v>
      </c>
      <c r="BA14" s="661" t="str">
        <f>IFERROR(VLOOKUP(K14,'【参考】数式用'!$AX$3:$AY$56,2,FALSE),"")</f>
        <v/>
      </c>
      <c r="BB14" s="656" t="str">
        <f t="shared" si="14"/>
        <v/>
      </c>
      <c r="BC14" s="672" t="str">
        <f t="shared" si="15"/>
        <v>入力済</v>
      </c>
      <c r="BD14" s="656" t="str">
        <f t="shared" si="16"/>
        <v/>
      </c>
      <c r="BE14" s="656" t="str">
        <f t="shared" si="17"/>
        <v/>
      </c>
      <c r="BF14" s="658"/>
      <c r="BG14" s="658"/>
      <c r="BH14" s="680" t="e">
        <f>VLOOKUP(K14,'【参考】数式用'!$A$2:$O$57,15,FALSE)</f>
        <v>#N/A</v>
      </c>
      <c r="BI14" s="658"/>
      <c r="BJ14" s="658"/>
      <c r="BK14" s="658"/>
      <c r="BL14" s="658"/>
      <c r="BM14" s="658"/>
      <c r="BN14" s="658"/>
      <c r="BO14" s="675"/>
      <c r="BP14" s="494"/>
    </row>
    <row r="15" spans="1:68"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IF(基本情報入力シート!AG43="","",基本情報入力シート!AG43)</f>
        <v/>
      </c>
      <c r="N15" s="569"/>
      <c r="O15" s="574" t="str">
        <f>IFERROR(VLOOKUP(K15,'【参考】数式用'!$A$2:$F$57,MATCH(N15,'【参考】数式用'!$C$3:$F$3,0)+2,0),"")</f>
        <v/>
      </c>
      <c r="P15" s="581" t="s">
        <v>543</v>
      </c>
      <c r="Q15" s="586"/>
      <c r="R15" s="588" t="s">
        <v>75</v>
      </c>
      <c r="S15" s="586"/>
      <c r="T15" s="588" t="s">
        <v>159</v>
      </c>
      <c r="U15" s="586"/>
      <c r="V15" s="588" t="s">
        <v>75</v>
      </c>
      <c r="W15" s="586"/>
      <c r="X15" s="588" t="s">
        <v>722</v>
      </c>
      <c r="Y15" s="588" t="s">
        <v>161</v>
      </c>
      <c r="Z15" s="588" t="str">
        <f t="shared" si="0"/>
        <v/>
      </c>
      <c r="AA15" s="592" t="s">
        <v>6</v>
      </c>
      <c r="AB15" s="597" t="str">
        <f t="shared" si="1"/>
        <v/>
      </c>
      <c r="AC15" s="602" t="str">
        <f>IFERROR(ROUNDDOWN(ROUNDDOWN(ROUND(L15*VLOOKUP(K15,'【参考】数式用'!$A$4:$F$57,MATCH("処遇改善加算Ⅳ",'【参考】数式用'!$C$3:$F$3,0)+2,0),0)*M15,0)*Z15*0.5,0),"")</f>
        <v/>
      </c>
      <c r="AD15" s="608"/>
      <c r="AE15" s="616"/>
      <c r="AF15" s="616"/>
      <c r="AG15" s="622"/>
      <c r="AH15" s="625"/>
      <c r="AI15" s="632"/>
      <c r="AJ15" s="632"/>
      <c r="AK15" s="647" t="str">
        <f t="shared" si="2"/>
        <v/>
      </c>
      <c r="AL15" s="650" t="str">
        <f t="shared" si="18"/>
        <v/>
      </c>
      <c r="AM15" s="653"/>
      <c r="AN15" s="656" t="str">
        <f>IFERROR(VLOOKUP(K15,'【参考】数式用'!$A$2:$N$57,14,FALSE),"")</f>
        <v/>
      </c>
      <c r="AO15" s="656" t="str">
        <f t="shared" si="3"/>
        <v/>
      </c>
      <c r="AP15" s="661" t="str">
        <f t="shared" si="4"/>
        <v/>
      </c>
      <c r="AQ15" s="661" t="str">
        <f t="shared" si="5"/>
        <v>入力済</v>
      </c>
      <c r="AR15" s="656" t="str">
        <f t="shared" si="6"/>
        <v/>
      </c>
      <c r="AS15" s="661" t="str">
        <f t="shared" si="7"/>
        <v>入力済</v>
      </c>
      <c r="AT15" s="661" t="str">
        <f t="shared" si="8"/>
        <v/>
      </c>
      <c r="AU15" s="661" t="str">
        <f t="shared" si="9"/>
        <v/>
      </c>
      <c r="AV15" s="656" t="str">
        <f t="shared" si="10"/>
        <v/>
      </c>
      <c r="AW15" s="656" t="str">
        <f t="shared" si="11"/>
        <v>入力済</v>
      </c>
      <c r="AX15" s="661" t="str">
        <f>IFERROR(VLOOKUP(K15,'【参考】数式用'!$AR$3:$AS$49,2,FALSE),"")</f>
        <v/>
      </c>
      <c r="AY15" s="656" t="str">
        <f t="shared" si="12"/>
        <v/>
      </c>
      <c r="AZ15" s="656" t="str">
        <f t="shared" si="13"/>
        <v>入力済</v>
      </c>
      <c r="BA15" s="661" t="str">
        <f>IFERROR(VLOOKUP(K15,'【参考】数式用'!$AX$3:$AY$56,2,FALSE),"")</f>
        <v/>
      </c>
      <c r="BB15" s="656" t="str">
        <f t="shared" si="14"/>
        <v/>
      </c>
      <c r="BC15" s="672" t="str">
        <f t="shared" si="15"/>
        <v>入力済</v>
      </c>
      <c r="BD15" s="656" t="str">
        <f t="shared" si="16"/>
        <v/>
      </c>
      <c r="BE15" s="656" t="str">
        <f t="shared" si="17"/>
        <v/>
      </c>
      <c r="BF15" s="658"/>
      <c r="BG15" s="658"/>
      <c r="BH15" s="680" t="e">
        <f>VLOOKUP(K15,'【参考】数式用'!$A$2:$O$57,15,FALSE)</f>
        <v>#N/A</v>
      </c>
      <c r="BI15" s="658"/>
      <c r="BJ15" s="658"/>
      <c r="BK15" s="658"/>
      <c r="BL15" s="658"/>
      <c r="BM15" s="658"/>
      <c r="BN15" s="658"/>
      <c r="BO15" s="675"/>
      <c r="BP15" s="494"/>
    </row>
    <row r="16" spans="1:68"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IF(基本情報入力シート!AG44="","",基本情報入力シート!AG44)</f>
        <v/>
      </c>
      <c r="N16" s="569"/>
      <c r="O16" s="574" t="str">
        <f>IFERROR(VLOOKUP(K16,'【参考】数式用'!$A$2:$F$57,MATCH(N16,'【参考】数式用'!$C$3:$F$3,0)+2,0),"")</f>
        <v/>
      </c>
      <c r="P16" s="581" t="s">
        <v>543</v>
      </c>
      <c r="Q16" s="586"/>
      <c r="R16" s="588" t="s">
        <v>75</v>
      </c>
      <c r="S16" s="586"/>
      <c r="T16" s="588" t="s">
        <v>159</v>
      </c>
      <c r="U16" s="586"/>
      <c r="V16" s="588" t="s">
        <v>75</v>
      </c>
      <c r="W16" s="586"/>
      <c r="X16" s="588" t="s">
        <v>10</v>
      </c>
      <c r="Y16" s="588" t="s">
        <v>161</v>
      </c>
      <c r="Z16" s="588" t="str">
        <f t="shared" si="0"/>
        <v/>
      </c>
      <c r="AA16" s="592" t="s">
        <v>6</v>
      </c>
      <c r="AB16" s="597" t="str">
        <f t="shared" si="1"/>
        <v/>
      </c>
      <c r="AC16" s="602" t="str">
        <f>IFERROR(ROUNDDOWN(ROUNDDOWN(ROUND(L16*VLOOKUP(K16,'【参考】数式用'!$A$4:$F$57,MATCH("処遇改善加算Ⅳ",'【参考】数式用'!$C$3:$F$3,0)+2,0),0)*M16,0)*Z16*0.5,0),"")</f>
        <v/>
      </c>
      <c r="AD16" s="608"/>
      <c r="AE16" s="616"/>
      <c r="AF16" s="616"/>
      <c r="AG16" s="622"/>
      <c r="AH16" s="625"/>
      <c r="AI16" s="632"/>
      <c r="AJ16" s="632"/>
      <c r="AK16" s="647" t="str">
        <f t="shared" si="2"/>
        <v/>
      </c>
      <c r="AL16" s="650" t="str">
        <f t="shared" si="18"/>
        <v/>
      </c>
      <c r="AM16" s="653"/>
      <c r="AN16" s="656" t="str">
        <f>IFERROR(VLOOKUP(K16,'【参考】数式用'!$A$2:$N$57,14,FALSE),"")</f>
        <v/>
      </c>
      <c r="AO16" s="656" t="str">
        <f t="shared" si="3"/>
        <v/>
      </c>
      <c r="AP16" s="661" t="str">
        <f t="shared" si="4"/>
        <v/>
      </c>
      <c r="AQ16" s="661" t="str">
        <f t="shared" si="5"/>
        <v>入力済</v>
      </c>
      <c r="AR16" s="656" t="str">
        <f t="shared" si="6"/>
        <v/>
      </c>
      <c r="AS16" s="661" t="str">
        <f t="shared" si="7"/>
        <v>入力済</v>
      </c>
      <c r="AT16" s="661" t="str">
        <f t="shared" si="8"/>
        <v/>
      </c>
      <c r="AU16" s="661" t="str">
        <f t="shared" si="9"/>
        <v/>
      </c>
      <c r="AV16" s="656" t="str">
        <f t="shared" si="10"/>
        <v/>
      </c>
      <c r="AW16" s="656" t="str">
        <f t="shared" si="11"/>
        <v>入力済</v>
      </c>
      <c r="AX16" s="661" t="str">
        <f>IFERROR(VLOOKUP(K16,'【参考】数式用'!$AR$3:$AS$49,2,FALSE),"")</f>
        <v/>
      </c>
      <c r="AY16" s="656" t="str">
        <f t="shared" si="12"/>
        <v/>
      </c>
      <c r="AZ16" s="656" t="str">
        <f t="shared" si="13"/>
        <v>入力済</v>
      </c>
      <c r="BA16" s="661" t="str">
        <f>IFERROR(VLOOKUP(K16,'【参考】数式用'!$AX$3:$AY$56,2,FALSE),"")</f>
        <v/>
      </c>
      <c r="BB16" s="656" t="str">
        <f t="shared" si="14"/>
        <v/>
      </c>
      <c r="BC16" s="672" t="str">
        <f t="shared" si="15"/>
        <v>入力済</v>
      </c>
      <c r="BD16" s="656" t="str">
        <f t="shared" si="16"/>
        <v/>
      </c>
      <c r="BE16" s="656" t="str">
        <f t="shared" si="17"/>
        <v/>
      </c>
      <c r="BF16" s="658"/>
      <c r="BG16" s="658"/>
      <c r="BH16" s="680" t="e">
        <f>VLOOKUP(K16,'【参考】数式用'!$A$2:$O$57,15,FALSE)</f>
        <v>#N/A</v>
      </c>
      <c r="BI16" s="658"/>
      <c r="BJ16" s="658"/>
      <c r="BK16" s="658"/>
      <c r="BL16" s="658"/>
      <c r="BM16" s="658"/>
      <c r="BN16" s="658"/>
      <c r="BO16" s="675"/>
      <c r="BP16" s="494"/>
    </row>
    <row r="17" spans="1:60"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IF(基本情報入力シート!AG45="","",基本情報入力シート!AG45)</f>
        <v/>
      </c>
      <c r="N17" s="569"/>
      <c r="O17" s="574" t="str">
        <f>IFERROR(VLOOKUP(K17,'【参考】数式用'!$A$2:$F$57,MATCH(N17,'【参考】数式用'!$C$3:$F$3,0)+2,0),"")</f>
        <v/>
      </c>
      <c r="P17" s="581" t="s">
        <v>543</v>
      </c>
      <c r="Q17" s="586"/>
      <c r="R17" s="588" t="s">
        <v>75</v>
      </c>
      <c r="S17" s="586"/>
      <c r="T17" s="588" t="s">
        <v>159</v>
      </c>
      <c r="U17" s="586"/>
      <c r="V17" s="588" t="s">
        <v>75</v>
      </c>
      <c r="W17" s="586"/>
      <c r="X17" s="588" t="s">
        <v>10</v>
      </c>
      <c r="Y17" s="588" t="s">
        <v>161</v>
      </c>
      <c r="Z17" s="588" t="str">
        <f t="shared" si="0"/>
        <v/>
      </c>
      <c r="AA17" s="592" t="s">
        <v>6</v>
      </c>
      <c r="AB17" s="597" t="str">
        <f t="shared" si="1"/>
        <v/>
      </c>
      <c r="AC17" s="602" t="str">
        <f>IFERROR(ROUNDDOWN(ROUNDDOWN(ROUND(L17*VLOOKUP(K17,'【参考】数式用'!$A$4:$F$57,MATCH("処遇改善加算Ⅳ",'【参考】数式用'!$C$3:$F$3,0)+2,0),0)*M17,0)*Z17*0.5,0),"")</f>
        <v/>
      </c>
      <c r="AD17" s="608"/>
      <c r="AE17" s="616"/>
      <c r="AF17" s="616"/>
      <c r="AG17" s="622"/>
      <c r="AH17" s="625"/>
      <c r="AI17" s="632"/>
      <c r="AJ17" s="632"/>
      <c r="AK17" s="647" t="str">
        <f t="shared" si="2"/>
        <v/>
      </c>
      <c r="AL17" s="650" t="str">
        <f t="shared" si="18"/>
        <v/>
      </c>
      <c r="AM17" s="653"/>
      <c r="AN17" s="656" t="str">
        <f>IFERROR(VLOOKUP(K17,'【参考】数式用'!$A$2:$N$57,14,FALSE),"")</f>
        <v/>
      </c>
      <c r="AO17" s="656" t="str">
        <f t="shared" si="3"/>
        <v/>
      </c>
      <c r="AP17" s="661" t="str">
        <f t="shared" si="4"/>
        <v/>
      </c>
      <c r="AQ17" s="661" t="str">
        <f t="shared" si="5"/>
        <v>入力済</v>
      </c>
      <c r="AR17" s="656" t="str">
        <f t="shared" si="6"/>
        <v/>
      </c>
      <c r="AS17" s="661" t="str">
        <f t="shared" si="7"/>
        <v>入力済</v>
      </c>
      <c r="AT17" s="661" t="str">
        <f t="shared" si="8"/>
        <v/>
      </c>
      <c r="AU17" s="661" t="str">
        <f t="shared" si="9"/>
        <v/>
      </c>
      <c r="AV17" s="656" t="str">
        <f t="shared" si="10"/>
        <v/>
      </c>
      <c r="AW17" s="656" t="str">
        <f t="shared" si="11"/>
        <v>入力済</v>
      </c>
      <c r="AX17" s="661" t="str">
        <f>IFERROR(VLOOKUP(K17,'【参考】数式用'!$AR$3:$AS$49,2,FALSE),"")</f>
        <v/>
      </c>
      <c r="AY17" s="656" t="str">
        <f t="shared" si="12"/>
        <v/>
      </c>
      <c r="AZ17" s="656" t="str">
        <f t="shared" si="13"/>
        <v>入力済</v>
      </c>
      <c r="BA17" s="661" t="str">
        <f>IFERROR(VLOOKUP(K17,'【参考】数式用'!$AX$3:$AY$56,2,FALSE),"")</f>
        <v/>
      </c>
      <c r="BB17" s="656" t="str">
        <f t="shared" si="14"/>
        <v/>
      </c>
      <c r="BC17" s="672" t="str">
        <f t="shared" si="15"/>
        <v>入力済</v>
      </c>
      <c r="BD17" s="656" t="str">
        <f t="shared" si="16"/>
        <v/>
      </c>
      <c r="BE17" s="656" t="str">
        <f t="shared" si="17"/>
        <v/>
      </c>
      <c r="BH17" s="680" t="e">
        <f>VLOOKUP(K17,'【参考】数式用'!$A$2:$O$57,15,FALSE)</f>
        <v>#N/A</v>
      </c>
    </row>
    <row r="18" spans="1:60"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IF(基本情報入力シート!AG46="","",基本情報入力シート!AG46)</f>
        <v/>
      </c>
      <c r="N18" s="569"/>
      <c r="O18" s="574" t="str">
        <f>IFERROR(VLOOKUP(K18,'【参考】数式用'!$A$2:$F$57,MATCH(N18,'【参考】数式用'!$C$3:$F$3,0)+2,0),"")</f>
        <v/>
      </c>
      <c r="P18" s="581" t="s">
        <v>543</v>
      </c>
      <c r="Q18" s="586"/>
      <c r="R18" s="588" t="s">
        <v>75</v>
      </c>
      <c r="S18" s="586"/>
      <c r="T18" s="588" t="s">
        <v>159</v>
      </c>
      <c r="U18" s="586"/>
      <c r="V18" s="588" t="s">
        <v>75</v>
      </c>
      <c r="W18" s="586"/>
      <c r="X18" s="588" t="s">
        <v>722</v>
      </c>
      <c r="Y18" s="588" t="s">
        <v>161</v>
      </c>
      <c r="Z18" s="588" t="str">
        <f t="shared" si="0"/>
        <v/>
      </c>
      <c r="AA18" s="592" t="s">
        <v>6</v>
      </c>
      <c r="AB18" s="597" t="str">
        <f t="shared" si="1"/>
        <v/>
      </c>
      <c r="AC18" s="602" t="str">
        <f>IFERROR(ROUNDDOWN(ROUNDDOWN(ROUND(L18*VLOOKUP(K18,'【参考】数式用'!$A$4:$F$57,MATCH("処遇改善加算Ⅳ",'【参考】数式用'!$C$3:$F$3,0)+2,0),0)*M18,0)*Z18*0.5,0),"")</f>
        <v/>
      </c>
      <c r="AD18" s="608"/>
      <c r="AE18" s="616"/>
      <c r="AF18" s="616"/>
      <c r="AG18" s="622"/>
      <c r="AH18" s="625"/>
      <c r="AI18" s="632"/>
      <c r="AJ18" s="632"/>
      <c r="AK18" s="647" t="str">
        <f t="shared" si="2"/>
        <v/>
      </c>
      <c r="AL18" s="650" t="str">
        <f t="shared" si="18"/>
        <v/>
      </c>
      <c r="AM18" s="653"/>
      <c r="AN18" s="656" t="str">
        <f>IFERROR(VLOOKUP(K18,'【参考】数式用'!$A$2:$N$57,14,FALSE),"")</f>
        <v/>
      </c>
      <c r="AO18" s="656" t="str">
        <f t="shared" si="3"/>
        <v/>
      </c>
      <c r="AP18" s="661" t="str">
        <f t="shared" si="4"/>
        <v/>
      </c>
      <c r="AQ18" s="661" t="str">
        <f t="shared" si="5"/>
        <v>入力済</v>
      </c>
      <c r="AR18" s="656" t="str">
        <f t="shared" si="6"/>
        <v/>
      </c>
      <c r="AS18" s="661" t="str">
        <f t="shared" si="7"/>
        <v>入力済</v>
      </c>
      <c r="AT18" s="661" t="str">
        <f t="shared" si="8"/>
        <v/>
      </c>
      <c r="AU18" s="661" t="str">
        <f t="shared" si="9"/>
        <v/>
      </c>
      <c r="AV18" s="656" t="str">
        <f t="shared" si="10"/>
        <v/>
      </c>
      <c r="AW18" s="656" t="str">
        <f t="shared" si="11"/>
        <v>入力済</v>
      </c>
      <c r="AX18" s="661" t="str">
        <f>IFERROR(VLOOKUP(K18,'【参考】数式用'!$AR$3:$AS$49,2,FALSE),"")</f>
        <v/>
      </c>
      <c r="AY18" s="656" t="str">
        <f t="shared" si="12"/>
        <v/>
      </c>
      <c r="AZ18" s="656" t="str">
        <f t="shared" si="13"/>
        <v>入力済</v>
      </c>
      <c r="BA18" s="661" t="str">
        <f>IFERROR(VLOOKUP(K18,'【参考】数式用'!$AX$3:$AY$56,2,FALSE),"")</f>
        <v/>
      </c>
      <c r="BB18" s="656" t="str">
        <f t="shared" si="14"/>
        <v/>
      </c>
      <c r="BC18" s="672" t="str">
        <f t="shared" si="15"/>
        <v>入力済</v>
      </c>
      <c r="BD18" s="656" t="str">
        <f t="shared" si="16"/>
        <v/>
      </c>
      <c r="BE18" s="656" t="str">
        <f t="shared" si="17"/>
        <v/>
      </c>
      <c r="BH18" s="680" t="e">
        <f>VLOOKUP(K18,'【参考】数式用'!$A$2:$O$57,15,FALSE)</f>
        <v>#N/A</v>
      </c>
    </row>
    <row r="19" spans="1:60" s="496" customFormat="1" ht="109.9" customHeight="1">
      <c r="A19" s="506">
        <v>8</v>
      </c>
      <c r="B19" s="515" t="str">
        <f>IF(基本情報入力シート!B47="","",基本情報入力シート!B47)</f>
        <v/>
      </c>
      <c r="C19" s="521"/>
      <c r="D19" s="521"/>
      <c r="E19" s="521"/>
      <c r="F19" s="528"/>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IF(基本情報入力シート!AG47="","",基本情報入力シート!AG47)</f>
        <v/>
      </c>
      <c r="N19" s="569"/>
      <c r="O19" s="574" t="str">
        <f>IFERROR(VLOOKUP(K19,'【参考】数式用'!$A$2:$F$57,MATCH(N19,'【参考】数式用'!$C$3:$F$3,0)+2,0),"")</f>
        <v/>
      </c>
      <c r="P19" s="581" t="s">
        <v>543</v>
      </c>
      <c r="Q19" s="586"/>
      <c r="R19" s="588" t="s">
        <v>75</v>
      </c>
      <c r="S19" s="586"/>
      <c r="T19" s="588" t="s">
        <v>159</v>
      </c>
      <c r="U19" s="586"/>
      <c r="V19" s="588" t="s">
        <v>75</v>
      </c>
      <c r="W19" s="586"/>
      <c r="X19" s="588" t="s">
        <v>722</v>
      </c>
      <c r="Y19" s="588" t="s">
        <v>161</v>
      </c>
      <c r="Z19" s="588" t="str">
        <f t="shared" si="0"/>
        <v/>
      </c>
      <c r="AA19" s="592" t="s">
        <v>6</v>
      </c>
      <c r="AB19" s="597" t="str">
        <f t="shared" si="1"/>
        <v/>
      </c>
      <c r="AC19" s="602" t="str">
        <f>IFERROR(ROUNDDOWN(ROUNDDOWN(ROUND(L19*VLOOKUP(K19,'【参考】数式用'!$A$4:$F$57,MATCH("処遇改善加算Ⅳ",'【参考】数式用'!$C$3:$F$3,0)+2,0),0)*M19,0)*Z19*0.5,0),"")</f>
        <v/>
      </c>
      <c r="AD19" s="608"/>
      <c r="AE19" s="616"/>
      <c r="AF19" s="616"/>
      <c r="AG19" s="622"/>
      <c r="AH19" s="625"/>
      <c r="AI19" s="632"/>
      <c r="AJ19" s="632"/>
      <c r="AK19" s="647" t="str">
        <f t="shared" si="2"/>
        <v/>
      </c>
      <c r="AL19" s="650" t="str">
        <f t="shared" si="18"/>
        <v/>
      </c>
      <c r="AM19" s="653"/>
      <c r="AN19" s="656" t="str">
        <f>IFERROR(VLOOKUP(K19,'【参考】数式用'!$A$2:$N$57,14,FALSE),"")</f>
        <v/>
      </c>
      <c r="AO19" s="656" t="str">
        <f t="shared" si="3"/>
        <v/>
      </c>
      <c r="AP19" s="661" t="str">
        <f t="shared" si="4"/>
        <v/>
      </c>
      <c r="AQ19" s="661" t="str">
        <f t="shared" si="5"/>
        <v>入力済</v>
      </c>
      <c r="AR19" s="656" t="str">
        <f t="shared" si="6"/>
        <v/>
      </c>
      <c r="AS19" s="661" t="str">
        <f t="shared" si="7"/>
        <v>入力済</v>
      </c>
      <c r="AT19" s="661" t="str">
        <f t="shared" si="8"/>
        <v/>
      </c>
      <c r="AU19" s="661" t="str">
        <f t="shared" si="9"/>
        <v/>
      </c>
      <c r="AV19" s="656" t="str">
        <f t="shared" si="10"/>
        <v/>
      </c>
      <c r="AW19" s="656" t="str">
        <f t="shared" si="11"/>
        <v>入力済</v>
      </c>
      <c r="AX19" s="661" t="str">
        <f>IFERROR(VLOOKUP(K19,'【参考】数式用'!$AR$3:$AS$49,2,FALSE),"")</f>
        <v/>
      </c>
      <c r="AY19" s="656" t="str">
        <f t="shared" si="12"/>
        <v/>
      </c>
      <c r="AZ19" s="656" t="str">
        <f t="shared" si="13"/>
        <v>入力済</v>
      </c>
      <c r="BA19" s="661" t="str">
        <f>IFERROR(VLOOKUP(K19,'【参考】数式用'!$AX$3:$AY$56,2,FALSE),"")</f>
        <v/>
      </c>
      <c r="BB19" s="656" t="str">
        <f t="shared" si="14"/>
        <v/>
      </c>
      <c r="BC19" s="672" t="str">
        <f t="shared" si="15"/>
        <v>入力済</v>
      </c>
      <c r="BD19" s="656" t="str">
        <f t="shared" si="16"/>
        <v/>
      </c>
      <c r="BE19" s="656" t="str">
        <f t="shared" si="17"/>
        <v/>
      </c>
      <c r="BH19" s="680" t="e">
        <f>VLOOKUP(K19,'【参考】数式用'!$A$2:$O$57,15,FALSE)</f>
        <v>#N/A</v>
      </c>
    </row>
    <row r="20" spans="1:60"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IF(基本情報入力シート!AG48="","",基本情報入力シート!AG48)</f>
        <v/>
      </c>
      <c r="N20" s="569"/>
      <c r="O20" s="574" t="str">
        <f>IFERROR(VLOOKUP(K20,'【参考】数式用'!$A$2:$F$57,MATCH(N20,'【参考】数式用'!$C$3:$F$3,0)+2,0),"")</f>
        <v/>
      </c>
      <c r="P20" s="581" t="s">
        <v>543</v>
      </c>
      <c r="Q20" s="586"/>
      <c r="R20" s="588" t="s">
        <v>75</v>
      </c>
      <c r="S20" s="586"/>
      <c r="T20" s="588" t="s">
        <v>159</v>
      </c>
      <c r="U20" s="586"/>
      <c r="V20" s="588" t="s">
        <v>75</v>
      </c>
      <c r="W20" s="586"/>
      <c r="X20" s="588" t="s">
        <v>722</v>
      </c>
      <c r="Y20" s="588" t="s">
        <v>161</v>
      </c>
      <c r="Z20" s="588" t="str">
        <f t="shared" si="0"/>
        <v/>
      </c>
      <c r="AA20" s="592" t="s">
        <v>6</v>
      </c>
      <c r="AB20" s="597" t="str">
        <f t="shared" si="1"/>
        <v/>
      </c>
      <c r="AC20" s="602" t="str">
        <f>IFERROR(ROUNDDOWN(ROUNDDOWN(ROUND(L20*VLOOKUP(K20,'【参考】数式用'!$A$4:$F$57,MATCH("処遇改善加算Ⅳ",'【参考】数式用'!$C$3:$F$3,0)+2,0),0)*M20,0)*Z20*0.5,0),"")</f>
        <v/>
      </c>
      <c r="AD20" s="608"/>
      <c r="AE20" s="616"/>
      <c r="AF20" s="616"/>
      <c r="AG20" s="622"/>
      <c r="AH20" s="625"/>
      <c r="AI20" s="632"/>
      <c r="AJ20" s="632"/>
      <c r="AK20" s="647" t="str">
        <f t="shared" si="2"/>
        <v/>
      </c>
      <c r="AL20" s="650" t="str">
        <f t="shared" si="18"/>
        <v/>
      </c>
      <c r="AM20" s="653"/>
      <c r="AN20" s="656" t="str">
        <f>IFERROR(VLOOKUP(K20,'【参考】数式用'!$A$2:$N$57,14,FALSE),"")</f>
        <v/>
      </c>
      <c r="AO20" s="656" t="str">
        <f t="shared" si="3"/>
        <v/>
      </c>
      <c r="AP20" s="661" t="str">
        <f t="shared" si="4"/>
        <v/>
      </c>
      <c r="AQ20" s="661" t="str">
        <f t="shared" si="5"/>
        <v>入力済</v>
      </c>
      <c r="AR20" s="656" t="str">
        <f t="shared" si="6"/>
        <v/>
      </c>
      <c r="AS20" s="661" t="str">
        <f t="shared" si="7"/>
        <v>入力済</v>
      </c>
      <c r="AT20" s="661" t="str">
        <f t="shared" si="8"/>
        <v/>
      </c>
      <c r="AU20" s="661" t="str">
        <f t="shared" si="9"/>
        <v/>
      </c>
      <c r="AV20" s="656" t="str">
        <f t="shared" si="10"/>
        <v/>
      </c>
      <c r="AW20" s="656" t="str">
        <f t="shared" si="11"/>
        <v>入力済</v>
      </c>
      <c r="AX20" s="661" t="str">
        <f>IFERROR(VLOOKUP(K20,'【参考】数式用'!$AR$3:$AS$49,2,FALSE),"")</f>
        <v/>
      </c>
      <c r="AY20" s="656" t="str">
        <f t="shared" si="12"/>
        <v/>
      </c>
      <c r="AZ20" s="656" t="str">
        <f t="shared" si="13"/>
        <v>入力済</v>
      </c>
      <c r="BA20" s="661" t="str">
        <f>IFERROR(VLOOKUP(K20,'【参考】数式用'!$AX$3:$AY$56,2,FALSE),"")</f>
        <v/>
      </c>
      <c r="BB20" s="656" t="str">
        <f t="shared" si="14"/>
        <v/>
      </c>
      <c r="BC20" s="672" t="str">
        <f t="shared" si="15"/>
        <v>入力済</v>
      </c>
      <c r="BD20" s="656" t="str">
        <f t="shared" si="16"/>
        <v/>
      </c>
      <c r="BE20" s="656" t="str">
        <f t="shared" si="17"/>
        <v/>
      </c>
      <c r="BH20" s="680" t="e">
        <f>VLOOKUP(K20,'【参考】数式用'!$A$2:$O$57,15,FALSE)</f>
        <v>#N/A</v>
      </c>
    </row>
    <row r="21" spans="1:60"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IF(基本情報入力シート!AG49="","",基本情報入力シート!AG49)</f>
        <v/>
      </c>
      <c r="N21" s="569"/>
      <c r="O21" s="574" t="str">
        <f>IFERROR(VLOOKUP(K21,'【参考】数式用'!$A$2:$F$57,MATCH(N21,'【参考】数式用'!$C$3:$F$3,0)+2,0),"")</f>
        <v/>
      </c>
      <c r="P21" s="581" t="s">
        <v>543</v>
      </c>
      <c r="Q21" s="586"/>
      <c r="R21" s="588" t="s">
        <v>75</v>
      </c>
      <c r="S21" s="586"/>
      <c r="T21" s="588" t="s">
        <v>159</v>
      </c>
      <c r="U21" s="586"/>
      <c r="V21" s="588" t="s">
        <v>75</v>
      </c>
      <c r="W21" s="586"/>
      <c r="X21" s="588" t="s">
        <v>10</v>
      </c>
      <c r="Y21" s="588" t="s">
        <v>161</v>
      </c>
      <c r="Z21" s="588" t="str">
        <f t="shared" si="0"/>
        <v/>
      </c>
      <c r="AA21" s="592" t="s">
        <v>6</v>
      </c>
      <c r="AB21" s="597" t="str">
        <f t="shared" si="1"/>
        <v/>
      </c>
      <c r="AC21" s="602" t="str">
        <f>IFERROR(ROUNDDOWN(ROUNDDOWN(ROUND(L21*VLOOKUP(K21,'【参考】数式用'!$A$4:$F$57,MATCH("処遇改善加算Ⅳ",'【参考】数式用'!$C$3:$F$3,0)+2,0),0)*M21,0)*Z21*0.5,0),"")</f>
        <v/>
      </c>
      <c r="AD21" s="608"/>
      <c r="AE21" s="616"/>
      <c r="AF21" s="616"/>
      <c r="AG21" s="622"/>
      <c r="AH21" s="625"/>
      <c r="AI21" s="632"/>
      <c r="AJ21" s="632"/>
      <c r="AK21" s="647" t="str">
        <f t="shared" si="2"/>
        <v/>
      </c>
      <c r="AL21" s="650" t="str">
        <f t="shared" si="18"/>
        <v/>
      </c>
      <c r="AM21" s="653"/>
      <c r="AN21" s="656" t="str">
        <f>IFERROR(VLOOKUP(K21,'【参考】数式用'!$A$2:$N$57,14,FALSE),"")</f>
        <v/>
      </c>
      <c r="AO21" s="656" t="str">
        <f t="shared" si="3"/>
        <v/>
      </c>
      <c r="AP21" s="661" t="str">
        <f t="shared" si="4"/>
        <v/>
      </c>
      <c r="AQ21" s="661" t="str">
        <f t="shared" si="5"/>
        <v>入力済</v>
      </c>
      <c r="AR21" s="656" t="str">
        <f t="shared" si="6"/>
        <v/>
      </c>
      <c r="AS21" s="661" t="str">
        <f t="shared" si="7"/>
        <v>入力済</v>
      </c>
      <c r="AT21" s="661" t="str">
        <f t="shared" si="8"/>
        <v/>
      </c>
      <c r="AU21" s="661" t="str">
        <f t="shared" si="9"/>
        <v/>
      </c>
      <c r="AV21" s="656" t="str">
        <f t="shared" si="10"/>
        <v/>
      </c>
      <c r="AW21" s="656" t="str">
        <f t="shared" si="11"/>
        <v>入力済</v>
      </c>
      <c r="AX21" s="661" t="str">
        <f>IFERROR(VLOOKUP(K21,'【参考】数式用'!$AR$3:$AS$49,2,FALSE),"")</f>
        <v/>
      </c>
      <c r="AY21" s="656" t="str">
        <f t="shared" si="12"/>
        <v/>
      </c>
      <c r="AZ21" s="656" t="str">
        <f t="shared" si="13"/>
        <v>入力済</v>
      </c>
      <c r="BA21" s="661" t="str">
        <f>IFERROR(VLOOKUP(K21,'【参考】数式用'!$AX$3:$AY$56,2,FALSE),"")</f>
        <v/>
      </c>
      <c r="BB21" s="656" t="str">
        <f t="shared" si="14"/>
        <v/>
      </c>
      <c r="BC21" s="672" t="str">
        <f t="shared" si="15"/>
        <v>入力済</v>
      </c>
      <c r="BD21" s="656" t="str">
        <f t="shared" si="16"/>
        <v/>
      </c>
      <c r="BE21" s="656" t="str">
        <f t="shared" si="17"/>
        <v/>
      </c>
      <c r="BH21" s="680" t="e">
        <f>VLOOKUP(K21,'【参考】数式用'!$A$2:$O$57,15,FALSE)</f>
        <v>#N/A</v>
      </c>
    </row>
    <row r="22" spans="1:60"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IF(基本情報入力シート!AG50="","",基本情報入力シート!AG50)</f>
        <v/>
      </c>
      <c r="N22" s="569"/>
      <c r="O22" s="574" t="str">
        <f>IFERROR(VLOOKUP(K22,'【参考】数式用'!$A$2:$F$57,MATCH(N22,'【参考】数式用'!$C$3:$F$3,0)+2,0),"")</f>
        <v/>
      </c>
      <c r="P22" s="581" t="s">
        <v>543</v>
      </c>
      <c r="Q22" s="586"/>
      <c r="R22" s="588" t="s">
        <v>75</v>
      </c>
      <c r="S22" s="586"/>
      <c r="T22" s="588" t="s">
        <v>159</v>
      </c>
      <c r="U22" s="586"/>
      <c r="V22" s="588" t="s">
        <v>75</v>
      </c>
      <c r="W22" s="586"/>
      <c r="X22" s="588" t="s">
        <v>722</v>
      </c>
      <c r="Y22" s="588" t="s">
        <v>161</v>
      </c>
      <c r="Z22" s="588" t="str">
        <f t="shared" si="0"/>
        <v/>
      </c>
      <c r="AA22" s="592" t="s">
        <v>6</v>
      </c>
      <c r="AB22" s="597" t="str">
        <f t="shared" si="1"/>
        <v/>
      </c>
      <c r="AC22" s="602" t="str">
        <f>IFERROR(ROUNDDOWN(ROUNDDOWN(ROUND(L22*VLOOKUP(K22,'【参考】数式用'!$A$4:$F$57,MATCH("処遇改善加算Ⅳ",'【参考】数式用'!$C$3:$F$3,0)+2,0),0)*M22,0)*Z22*0.5,0),"")</f>
        <v/>
      </c>
      <c r="AD22" s="608"/>
      <c r="AE22" s="616"/>
      <c r="AF22" s="616"/>
      <c r="AG22" s="622"/>
      <c r="AH22" s="625"/>
      <c r="AI22" s="632"/>
      <c r="AJ22" s="632"/>
      <c r="AK22" s="647" t="str">
        <f t="shared" si="2"/>
        <v/>
      </c>
      <c r="AL22" s="650" t="str">
        <f t="shared" si="18"/>
        <v/>
      </c>
      <c r="AM22" s="653"/>
      <c r="AN22" s="656" t="str">
        <f>IFERROR(VLOOKUP(K22,'【参考】数式用'!$A$2:$N$57,14,FALSE),"")</f>
        <v/>
      </c>
      <c r="AO22" s="656" t="str">
        <f t="shared" si="3"/>
        <v/>
      </c>
      <c r="AP22" s="661" t="str">
        <f t="shared" si="4"/>
        <v/>
      </c>
      <c r="AQ22" s="661" t="str">
        <f t="shared" si="5"/>
        <v>入力済</v>
      </c>
      <c r="AR22" s="656" t="str">
        <f t="shared" si="6"/>
        <v/>
      </c>
      <c r="AS22" s="661" t="str">
        <f t="shared" si="7"/>
        <v>入力済</v>
      </c>
      <c r="AT22" s="661" t="str">
        <f t="shared" si="8"/>
        <v/>
      </c>
      <c r="AU22" s="661" t="str">
        <f t="shared" si="9"/>
        <v/>
      </c>
      <c r="AV22" s="656" t="str">
        <f t="shared" si="10"/>
        <v/>
      </c>
      <c r="AW22" s="656" t="str">
        <f t="shared" si="11"/>
        <v>入力済</v>
      </c>
      <c r="AX22" s="661" t="str">
        <f>IFERROR(VLOOKUP(K22,'【参考】数式用'!$AR$3:$AS$49,2,FALSE),"")</f>
        <v/>
      </c>
      <c r="AY22" s="656" t="str">
        <f t="shared" si="12"/>
        <v/>
      </c>
      <c r="AZ22" s="656" t="str">
        <f t="shared" si="13"/>
        <v>入力済</v>
      </c>
      <c r="BA22" s="661" t="str">
        <f>IFERROR(VLOOKUP(K22,'【参考】数式用'!$AX$3:$AY$56,2,FALSE),"")</f>
        <v/>
      </c>
      <c r="BB22" s="656" t="str">
        <f t="shared" si="14"/>
        <v/>
      </c>
      <c r="BC22" s="672" t="str">
        <f t="shared" si="15"/>
        <v>入力済</v>
      </c>
      <c r="BD22" s="656" t="str">
        <f t="shared" si="16"/>
        <v/>
      </c>
      <c r="BE22" s="656" t="str">
        <f t="shared" si="17"/>
        <v/>
      </c>
      <c r="BH22" s="680" t="e">
        <f>VLOOKUP(K22,'【参考】数式用'!$A$2:$O$57,15,FALSE)</f>
        <v>#N/A</v>
      </c>
    </row>
    <row r="23" spans="1:60"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IF(基本情報入力シート!AG51="","",基本情報入力シート!AG51)</f>
        <v/>
      </c>
      <c r="N23" s="569"/>
      <c r="O23" s="574" t="str">
        <f>IFERROR(VLOOKUP(K23,'【参考】数式用'!$A$2:$F$57,MATCH(N23,'【参考】数式用'!$C$3:$F$3,0)+2,0),"")</f>
        <v/>
      </c>
      <c r="P23" s="581" t="s">
        <v>543</v>
      </c>
      <c r="Q23" s="586"/>
      <c r="R23" s="588" t="s">
        <v>75</v>
      </c>
      <c r="S23" s="586"/>
      <c r="T23" s="588" t="s">
        <v>159</v>
      </c>
      <c r="U23" s="586"/>
      <c r="V23" s="588" t="s">
        <v>75</v>
      </c>
      <c r="W23" s="586"/>
      <c r="X23" s="588" t="s">
        <v>722</v>
      </c>
      <c r="Y23" s="588" t="s">
        <v>161</v>
      </c>
      <c r="Z23" s="588" t="str">
        <f t="shared" si="0"/>
        <v/>
      </c>
      <c r="AA23" s="592" t="s">
        <v>6</v>
      </c>
      <c r="AB23" s="597" t="str">
        <f t="shared" si="1"/>
        <v/>
      </c>
      <c r="AC23" s="602" t="str">
        <f>IFERROR(ROUNDDOWN(ROUNDDOWN(ROUND(L23*VLOOKUP(K23,'【参考】数式用'!$A$4:$F$57,MATCH("処遇改善加算Ⅳ",'【参考】数式用'!$C$3:$F$3,0)+2,0),0)*M23,0)*Z23*0.5,0),"")</f>
        <v/>
      </c>
      <c r="AD23" s="608"/>
      <c r="AE23" s="616"/>
      <c r="AF23" s="616"/>
      <c r="AG23" s="622"/>
      <c r="AH23" s="625"/>
      <c r="AI23" s="632"/>
      <c r="AJ23" s="632"/>
      <c r="AK23" s="647" t="str">
        <f t="shared" si="2"/>
        <v/>
      </c>
      <c r="AL23" s="650" t="str">
        <f t="shared" si="18"/>
        <v/>
      </c>
      <c r="AM23" s="653"/>
      <c r="AN23" s="656" t="str">
        <f>IFERROR(VLOOKUP(K23,'【参考】数式用'!$A$2:$N$57,14,FALSE),"")</f>
        <v/>
      </c>
      <c r="AO23" s="656" t="str">
        <f t="shared" si="3"/>
        <v/>
      </c>
      <c r="AP23" s="661" t="str">
        <f t="shared" si="4"/>
        <v/>
      </c>
      <c r="AQ23" s="661" t="str">
        <f t="shared" si="5"/>
        <v>入力済</v>
      </c>
      <c r="AR23" s="656" t="str">
        <f t="shared" si="6"/>
        <v/>
      </c>
      <c r="AS23" s="661" t="str">
        <f t="shared" si="7"/>
        <v>入力済</v>
      </c>
      <c r="AT23" s="661" t="str">
        <f t="shared" si="8"/>
        <v/>
      </c>
      <c r="AU23" s="661" t="str">
        <f t="shared" si="9"/>
        <v/>
      </c>
      <c r="AV23" s="656" t="str">
        <f t="shared" si="10"/>
        <v/>
      </c>
      <c r="AW23" s="656" t="str">
        <f t="shared" si="11"/>
        <v>入力済</v>
      </c>
      <c r="AX23" s="661" t="str">
        <f>IFERROR(VLOOKUP(K23,'【参考】数式用'!$AR$3:$AS$49,2,FALSE),"")</f>
        <v/>
      </c>
      <c r="AY23" s="656" t="str">
        <f t="shared" si="12"/>
        <v/>
      </c>
      <c r="AZ23" s="656" t="str">
        <f t="shared" si="13"/>
        <v>入力済</v>
      </c>
      <c r="BA23" s="661" t="str">
        <f>IFERROR(VLOOKUP(K23,'【参考】数式用'!$AX$3:$AY$56,2,FALSE),"")</f>
        <v/>
      </c>
      <c r="BB23" s="656" t="str">
        <f t="shared" si="14"/>
        <v/>
      </c>
      <c r="BC23" s="672" t="str">
        <f t="shared" si="15"/>
        <v>入力済</v>
      </c>
      <c r="BD23" s="656" t="str">
        <f t="shared" si="16"/>
        <v/>
      </c>
      <c r="BE23" s="656" t="str">
        <f t="shared" si="17"/>
        <v/>
      </c>
      <c r="BH23" s="680" t="e">
        <f>VLOOKUP(K23,'【参考】数式用'!$A$2:$O$57,15,FALSE)</f>
        <v>#N/A</v>
      </c>
    </row>
    <row r="24" spans="1:60"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IF(基本情報入力シート!AG52="","",基本情報入力シート!AG52)</f>
        <v/>
      </c>
      <c r="N24" s="569"/>
      <c r="O24" s="574" t="str">
        <f>IFERROR(VLOOKUP(K24,'【参考】数式用'!$A$2:$F$57,MATCH(N24,'【参考】数式用'!$C$3:$F$3,0)+2,0),"")</f>
        <v/>
      </c>
      <c r="P24" s="581" t="s">
        <v>543</v>
      </c>
      <c r="Q24" s="586"/>
      <c r="R24" s="588" t="s">
        <v>75</v>
      </c>
      <c r="S24" s="586"/>
      <c r="T24" s="588" t="s">
        <v>159</v>
      </c>
      <c r="U24" s="586"/>
      <c r="V24" s="588" t="s">
        <v>75</v>
      </c>
      <c r="W24" s="586"/>
      <c r="X24" s="588" t="s">
        <v>722</v>
      </c>
      <c r="Y24" s="588" t="s">
        <v>161</v>
      </c>
      <c r="Z24" s="588" t="str">
        <f t="shared" si="0"/>
        <v/>
      </c>
      <c r="AA24" s="592" t="s">
        <v>6</v>
      </c>
      <c r="AB24" s="597" t="str">
        <f t="shared" si="1"/>
        <v/>
      </c>
      <c r="AC24" s="602" t="str">
        <f>IFERROR(ROUNDDOWN(ROUNDDOWN(ROUND(L24*VLOOKUP(K24,'【参考】数式用'!$A$4:$F$57,MATCH("処遇改善加算Ⅳ",'【参考】数式用'!$C$3:$F$3,0)+2,0),0)*M24,0)*Z24*0.5,0),"")</f>
        <v/>
      </c>
      <c r="AD24" s="608"/>
      <c r="AE24" s="616"/>
      <c r="AF24" s="616"/>
      <c r="AG24" s="622"/>
      <c r="AH24" s="625"/>
      <c r="AI24" s="632"/>
      <c r="AJ24" s="632"/>
      <c r="AK24" s="647" t="str">
        <f t="shared" si="2"/>
        <v/>
      </c>
      <c r="AL24" s="650" t="str">
        <f t="shared" si="18"/>
        <v/>
      </c>
      <c r="AM24" s="653"/>
      <c r="AN24" s="656" t="str">
        <f>IFERROR(VLOOKUP(K24,'【参考】数式用'!$A$2:$N$57,14,FALSE),"")</f>
        <v/>
      </c>
      <c r="AO24" s="656" t="str">
        <f t="shared" si="3"/>
        <v/>
      </c>
      <c r="AP24" s="661" t="str">
        <f t="shared" si="4"/>
        <v/>
      </c>
      <c r="AQ24" s="661" t="str">
        <f t="shared" si="5"/>
        <v>入力済</v>
      </c>
      <c r="AR24" s="656" t="str">
        <f t="shared" si="6"/>
        <v/>
      </c>
      <c r="AS24" s="661" t="str">
        <f t="shared" si="7"/>
        <v>入力済</v>
      </c>
      <c r="AT24" s="661" t="str">
        <f t="shared" si="8"/>
        <v/>
      </c>
      <c r="AU24" s="661" t="str">
        <f t="shared" si="9"/>
        <v/>
      </c>
      <c r="AV24" s="656" t="str">
        <f t="shared" si="10"/>
        <v/>
      </c>
      <c r="AW24" s="656" t="str">
        <f t="shared" si="11"/>
        <v>入力済</v>
      </c>
      <c r="AX24" s="661" t="str">
        <f>IFERROR(VLOOKUP(K24,'【参考】数式用'!$AR$3:$AS$49,2,FALSE),"")</f>
        <v/>
      </c>
      <c r="AY24" s="656" t="str">
        <f t="shared" si="12"/>
        <v/>
      </c>
      <c r="AZ24" s="656" t="str">
        <f t="shared" si="13"/>
        <v>入力済</v>
      </c>
      <c r="BA24" s="661" t="str">
        <f>IFERROR(VLOOKUP(K24,'【参考】数式用'!$AX$3:$AY$56,2,FALSE),"")</f>
        <v/>
      </c>
      <c r="BB24" s="656" t="str">
        <f t="shared" si="14"/>
        <v/>
      </c>
      <c r="BC24" s="672" t="str">
        <f t="shared" si="15"/>
        <v>入力済</v>
      </c>
      <c r="BD24" s="656" t="str">
        <f t="shared" si="16"/>
        <v/>
      </c>
      <c r="BE24" s="656" t="str">
        <f t="shared" si="17"/>
        <v/>
      </c>
      <c r="BH24" s="680" t="e">
        <f>VLOOKUP(K24,'【参考】数式用'!$A$2:$O$57,15,FALSE)</f>
        <v>#N/A</v>
      </c>
    </row>
    <row r="25" spans="1:60"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IF(基本情報入力シート!AG53="","",基本情報入力シート!AG53)</f>
        <v/>
      </c>
      <c r="N25" s="569"/>
      <c r="O25" s="574" t="str">
        <f>IFERROR(VLOOKUP(K25,'【参考】数式用'!$A$2:$F$57,MATCH(N25,'【参考】数式用'!$C$3:$F$3,0)+2,0),"")</f>
        <v/>
      </c>
      <c r="P25" s="581" t="s">
        <v>543</v>
      </c>
      <c r="Q25" s="586"/>
      <c r="R25" s="588" t="s">
        <v>75</v>
      </c>
      <c r="S25" s="586"/>
      <c r="T25" s="588" t="s">
        <v>159</v>
      </c>
      <c r="U25" s="586"/>
      <c r="V25" s="588" t="s">
        <v>75</v>
      </c>
      <c r="W25" s="586"/>
      <c r="X25" s="588" t="s">
        <v>10</v>
      </c>
      <c r="Y25" s="588" t="s">
        <v>161</v>
      </c>
      <c r="Z25" s="588" t="str">
        <f t="shared" si="0"/>
        <v/>
      </c>
      <c r="AA25" s="592" t="s">
        <v>6</v>
      </c>
      <c r="AB25" s="597" t="str">
        <f t="shared" si="1"/>
        <v/>
      </c>
      <c r="AC25" s="602" t="str">
        <f>IFERROR(ROUNDDOWN(ROUNDDOWN(ROUND(L25*VLOOKUP(K25,'【参考】数式用'!$A$4:$F$57,MATCH("処遇改善加算Ⅳ",'【参考】数式用'!$C$3:$F$3,0)+2,0),0)*M25,0)*Z25*0.5,0),"")</f>
        <v/>
      </c>
      <c r="AD25" s="608"/>
      <c r="AE25" s="616"/>
      <c r="AF25" s="616"/>
      <c r="AG25" s="622"/>
      <c r="AH25" s="625"/>
      <c r="AI25" s="632"/>
      <c r="AJ25" s="632"/>
      <c r="AK25" s="647" t="str">
        <f t="shared" si="2"/>
        <v/>
      </c>
      <c r="AL25" s="650" t="str">
        <f t="shared" si="18"/>
        <v/>
      </c>
      <c r="AM25" s="653"/>
      <c r="AN25" s="656" t="str">
        <f>IFERROR(VLOOKUP(K25,'【参考】数式用'!$A$2:$N$57,14,FALSE),"")</f>
        <v/>
      </c>
      <c r="AO25" s="656" t="str">
        <f t="shared" si="3"/>
        <v/>
      </c>
      <c r="AP25" s="661" t="str">
        <f t="shared" si="4"/>
        <v/>
      </c>
      <c r="AQ25" s="661" t="str">
        <f t="shared" si="5"/>
        <v>入力済</v>
      </c>
      <c r="AR25" s="656" t="str">
        <f t="shared" si="6"/>
        <v/>
      </c>
      <c r="AS25" s="661" t="str">
        <f t="shared" si="7"/>
        <v>入力済</v>
      </c>
      <c r="AT25" s="661" t="str">
        <f t="shared" si="8"/>
        <v/>
      </c>
      <c r="AU25" s="661" t="str">
        <f t="shared" si="9"/>
        <v/>
      </c>
      <c r="AV25" s="656" t="str">
        <f t="shared" si="10"/>
        <v/>
      </c>
      <c r="AW25" s="656" t="str">
        <f t="shared" si="11"/>
        <v>入力済</v>
      </c>
      <c r="AX25" s="661" t="str">
        <f>IFERROR(VLOOKUP(K25,'【参考】数式用'!$AR$3:$AS$49,2,FALSE),"")</f>
        <v/>
      </c>
      <c r="AY25" s="656" t="str">
        <f t="shared" si="12"/>
        <v/>
      </c>
      <c r="AZ25" s="656" t="str">
        <f t="shared" si="13"/>
        <v>入力済</v>
      </c>
      <c r="BA25" s="661" t="str">
        <f>IFERROR(VLOOKUP(K25,'【参考】数式用'!$AX$3:$AY$56,2,FALSE),"")</f>
        <v/>
      </c>
      <c r="BB25" s="656" t="str">
        <f t="shared" si="14"/>
        <v/>
      </c>
      <c r="BC25" s="672" t="str">
        <f t="shared" si="15"/>
        <v>入力済</v>
      </c>
      <c r="BD25" s="656" t="str">
        <f t="shared" si="16"/>
        <v/>
      </c>
      <c r="BE25" s="656" t="str">
        <f t="shared" si="17"/>
        <v/>
      </c>
      <c r="BH25" s="680" t="e">
        <f>VLOOKUP(K25,'【参考】数式用'!$A$2:$O$57,15,FALSE)</f>
        <v>#N/A</v>
      </c>
    </row>
    <row r="26" spans="1:60"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IF(基本情報入力シート!AG54="","",基本情報入力シート!AG54)</f>
        <v/>
      </c>
      <c r="N26" s="569"/>
      <c r="O26" s="574" t="str">
        <f>IFERROR(VLOOKUP(K26,'【参考】数式用'!$A$2:$F$57,MATCH(N26,'【参考】数式用'!$C$3:$F$3,0)+2,0),"")</f>
        <v/>
      </c>
      <c r="P26" s="581" t="s">
        <v>543</v>
      </c>
      <c r="Q26" s="586"/>
      <c r="R26" s="588" t="s">
        <v>75</v>
      </c>
      <c r="S26" s="586"/>
      <c r="T26" s="588" t="s">
        <v>159</v>
      </c>
      <c r="U26" s="586"/>
      <c r="V26" s="588" t="s">
        <v>75</v>
      </c>
      <c r="W26" s="586"/>
      <c r="X26" s="588" t="s">
        <v>10</v>
      </c>
      <c r="Y26" s="588" t="s">
        <v>161</v>
      </c>
      <c r="Z26" s="588" t="str">
        <f t="shared" si="0"/>
        <v/>
      </c>
      <c r="AA26" s="592" t="s">
        <v>6</v>
      </c>
      <c r="AB26" s="597" t="str">
        <f t="shared" si="1"/>
        <v/>
      </c>
      <c r="AC26" s="602" t="str">
        <f>IFERROR(ROUNDDOWN(ROUNDDOWN(ROUND(L26*VLOOKUP(K26,'【参考】数式用'!$A$4:$F$57,MATCH("処遇改善加算Ⅳ",'【参考】数式用'!$C$3:$F$3,0)+2,0),0)*M26,0)*Z26*0.5,0),"")</f>
        <v/>
      </c>
      <c r="AD26" s="608"/>
      <c r="AE26" s="616"/>
      <c r="AF26" s="616"/>
      <c r="AG26" s="622"/>
      <c r="AH26" s="625"/>
      <c r="AI26" s="632"/>
      <c r="AJ26" s="632"/>
      <c r="AK26" s="647" t="str">
        <f t="shared" si="2"/>
        <v/>
      </c>
      <c r="AL26" s="650" t="str">
        <f t="shared" si="18"/>
        <v/>
      </c>
      <c r="AM26" s="653"/>
      <c r="AN26" s="656" t="str">
        <f>IFERROR(VLOOKUP(K26,'【参考】数式用'!$A$2:$N$57,14,FALSE),"")</f>
        <v/>
      </c>
      <c r="AO26" s="656" t="str">
        <f t="shared" si="3"/>
        <v/>
      </c>
      <c r="AP26" s="661" t="str">
        <f t="shared" si="4"/>
        <v/>
      </c>
      <c r="AQ26" s="661" t="str">
        <f t="shared" si="5"/>
        <v>入力済</v>
      </c>
      <c r="AR26" s="656" t="str">
        <f t="shared" si="6"/>
        <v/>
      </c>
      <c r="AS26" s="661" t="str">
        <f t="shared" si="7"/>
        <v>入力済</v>
      </c>
      <c r="AT26" s="661" t="str">
        <f t="shared" si="8"/>
        <v/>
      </c>
      <c r="AU26" s="661" t="str">
        <f t="shared" si="9"/>
        <v/>
      </c>
      <c r="AV26" s="656" t="str">
        <f t="shared" si="10"/>
        <v/>
      </c>
      <c r="AW26" s="656" t="str">
        <f t="shared" si="11"/>
        <v>入力済</v>
      </c>
      <c r="AX26" s="661" t="str">
        <f>IFERROR(VLOOKUP(K26,'【参考】数式用'!$AR$3:$AS$49,2,FALSE),"")</f>
        <v/>
      </c>
      <c r="AY26" s="656" t="str">
        <f t="shared" si="12"/>
        <v/>
      </c>
      <c r="AZ26" s="656" t="str">
        <f t="shared" si="13"/>
        <v>入力済</v>
      </c>
      <c r="BA26" s="661" t="str">
        <f>IFERROR(VLOOKUP(K26,'【参考】数式用'!$AX$3:$AY$56,2,FALSE),"")</f>
        <v/>
      </c>
      <c r="BB26" s="656" t="str">
        <f t="shared" si="14"/>
        <v/>
      </c>
      <c r="BC26" s="672" t="str">
        <f t="shared" si="15"/>
        <v>入力済</v>
      </c>
      <c r="BD26" s="656" t="str">
        <f t="shared" si="16"/>
        <v/>
      </c>
      <c r="BE26" s="656" t="str">
        <f t="shared" si="17"/>
        <v/>
      </c>
      <c r="BH26" s="680" t="e">
        <f>VLOOKUP(K26,'【参考】数式用'!$A$2:$O$57,15,FALSE)</f>
        <v>#N/A</v>
      </c>
    </row>
    <row r="27" spans="1:60"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IF(基本情報入力シート!AG55="","",基本情報入力シート!AG55)</f>
        <v/>
      </c>
      <c r="N27" s="569"/>
      <c r="O27" s="574" t="str">
        <f>IFERROR(VLOOKUP(K27,'【参考】数式用'!$A$2:$F$57,MATCH(N27,'【参考】数式用'!$C$3:$F$3,0)+2,0),"")</f>
        <v/>
      </c>
      <c r="P27" s="581" t="s">
        <v>543</v>
      </c>
      <c r="Q27" s="586"/>
      <c r="R27" s="588" t="s">
        <v>75</v>
      </c>
      <c r="S27" s="586"/>
      <c r="T27" s="588" t="s">
        <v>159</v>
      </c>
      <c r="U27" s="586"/>
      <c r="V27" s="588" t="s">
        <v>75</v>
      </c>
      <c r="W27" s="586"/>
      <c r="X27" s="588" t="s">
        <v>722</v>
      </c>
      <c r="Y27" s="588" t="s">
        <v>161</v>
      </c>
      <c r="Z27" s="588" t="str">
        <f t="shared" si="0"/>
        <v/>
      </c>
      <c r="AA27" s="592" t="s">
        <v>6</v>
      </c>
      <c r="AB27" s="597" t="str">
        <f t="shared" si="1"/>
        <v/>
      </c>
      <c r="AC27" s="602" t="str">
        <f>IFERROR(ROUNDDOWN(ROUNDDOWN(ROUND(L27*VLOOKUP(K27,'【参考】数式用'!$A$4:$F$57,MATCH("処遇改善加算Ⅳ",'【参考】数式用'!$C$3:$F$3,0)+2,0),0)*M27,0)*Z27*0.5,0),"")</f>
        <v/>
      </c>
      <c r="AD27" s="608"/>
      <c r="AE27" s="616"/>
      <c r="AF27" s="616"/>
      <c r="AG27" s="622"/>
      <c r="AH27" s="625"/>
      <c r="AI27" s="632"/>
      <c r="AJ27" s="632"/>
      <c r="AK27" s="647" t="str">
        <f t="shared" si="2"/>
        <v/>
      </c>
      <c r="AL27" s="650" t="str">
        <f t="shared" si="18"/>
        <v/>
      </c>
      <c r="AM27" s="653"/>
      <c r="AN27" s="656" t="str">
        <f>IFERROR(VLOOKUP(K27,'【参考】数式用'!$A$2:$N$57,14,FALSE),"")</f>
        <v/>
      </c>
      <c r="AO27" s="656" t="str">
        <f t="shared" si="3"/>
        <v/>
      </c>
      <c r="AP27" s="661" t="str">
        <f t="shared" si="4"/>
        <v/>
      </c>
      <c r="AQ27" s="661" t="str">
        <f t="shared" si="5"/>
        <v>入力済</v>
      </c>
      <c r="AR27" s="656" t="str">
        <f t="shared" si="6"/>
        <v/>
      </c>
      <c r="AS27" s="661" t="str">
        <f t="shared" si="7"/>
        <v>入力済</v>
      </c>
      <c r="AT27" s="661" t="str">
        <f t="shared" si="8"/>
        <v/>
      </c>
      <c r="AU27" s="661" t="str">
        <f t="shared" si="9"/>
        <v/>
      </c>
      <c r="AV27" s="656" t="str">
        <f t="shared" si="10"/>
        <v/>
      </c>
      <c r="AW27" s="656" t="str">
        <f t="shared" si="11"/>
        <v>入力済</v>
      </c>
      <c r="AX27" s="661" t="str">
        <f>IFERROR(VLOOKUP(K27,'【参考】数式用'!$AR$3:$AS$49,2,FALSE),"")</f>
        <v/>
      </c>
      <c r="AY27" s="656" t="str">
        <f t="shared" si="12"/>
        <v/>
      </c>
      <c r="AZ27" s="656" t="str">
        <f t="shared" si="13"/>
        <v>入力済</v>
      </c>
      <c r="BA27" s="661" t="str">
        <f>IFERROR(VLOOKUP(K27,'【参考】数式用'!$AX$3:$AY$56,2,FALSE),"")</f>
        <v/>
      </c>
      <c r="BB27" s="656" t="str">
        <f t="shared" si="14"/>
        <v/>
      </c>
      <c r="BC27" s="672" t="str">
        <f t="shared" si="15"/>
        <v>入力済</v>
      </c>
      <c r="BD27" s="656" t="str">
        <f t="shared" si="16"/>
        <v/>
      </c>
      <c r="BE27" s="656" t="str">
        <f t="shared" si="17"/>
        <v/>
      </c>
      <c r="BH27" s="680" t="e">
        <f>VLOOKUP(K27,'【参考】数式用'!$A$2:$O$57,15,FALSE)</f>
        <v>#N/A</v>
      </c>
    </row>
    <row r="28" spans="1:60"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IF(基本情報入力シート!AG56="","",基本情報入力シート!AG56)</f>
        <v/>
      </c>
      <c r="N28" s="569"/>
      <c r="O28" s="574" t="str">
        <f>IFERROR(VLOOKUP(K28,'【参考】数式用'!$A$2:$F$57,MATCH(N28,'【参考】数式用'!$C$3:$F$3,0)+2,0),"")</f>
        <v/>
      </c>
      <c r="P28" s="581" t="s">
        <v>543</v>
      </c>
      <c r="Q28" s="586"/>
      <c r="R28" s="588" t="s">
        <v>75</v>
      </c>
      <c r="S28" s="586"/>
      <c r="T28" s="588" t="s">
        <v>159</v>
      </c>
      <c r="U28" s="586"/>
      <c r="V28" s="588" t="s">
        <v>75</v>
      </c>
      <c r="W28" s="586"/>
      <c r="X28" s="588" t="s">
        <v>722</v>
      </c>
      <c r="Y28" s="588" t="s">
        <v>161</v>
      </c>
      <c r="Z28" s="588" t="str">
        <f t="shared" si="0"/>
        <v/>
      </c>
      <c r="AA28" s="592" t="s">
        <v>6</v>
      </c>
      <c r="AB28" s="597" t="str">
        <f t="shared" si="1"/>
        <v/>
      </c>
      <c r="AC28" s="602" t="str">
        <f>IFERROR(ROUNDDOWN(ROUNDDOWN(ROUND(L28*VLOOKUP(K28,'【参考】数式用'!$A$4:$F$57,MATCH("処遇改善加算Ⅳ",'【参考】数式用'!$C$3:$F$3,0)+2,0),0)*M28,0)*Z28*0.5,0),"")</f>
        <v/>
      </c>
      <c r="AD28" s="608"/>
      <c r="AE28" s="616"/>
      <c r="AF28" s="616"/>
      <c r="AG28" s="622"/>
      <c r="AH28" s="625"/>
      <c r="AI28" s="632"/>
      <c r="AJ28" s="638"/>
      <c r="AK28" s="647" t="str">
        <f t="shared" si="2"/>
        <v/>
      </c>
      <c r="AL28" s="650" t="str">
        <f t="shared" si="18"/>
        <v/>
      </c>
      <c r="AM28" s="653"/>
      <c r="AN28" s="656" t="str">
        <f>IFERROR(VLOOKUP(K28,'【参考】数式用'!$A$2:$N$57,14,FALSE),"")</f>
        <v/>
      </c>
      <c r="AO28" s="656" t="str">
        <f t="shared" si="3"/>
        <v/>
      </c>
      <c r="AP28" s="661" t="str">
        <f t="shared" si="4"/>
        <v/>
      </c>
      <c r="AQ28" s="661" t="str">
        <f t="shared" si="5"/>
        <v>入力済</v>
      </c>
      <c r="AR28" s="656" t="str">
        <f t="shared" si="6"/>
        <v/>
      </c>
      <c r="AS28" s="661" t="str">
        <f t="shared" si="7"/>
        <v>入力済</v>
      </c>
      <c r="AT28" s="661" t="str">
        <f t="shared" si="8"/>
        <v/>
      </c>
      <c r="AU28" s="661" t="str">
        <f t="shared" si="9"/>
        <v/>
      </c>
      <c r="AV28" s="656" t="str">
        <f t="shared" si="10"/>
        <v/>
      </c>
      <c r="AW28" s="656" t="str">
        <f t="shared" si="11"/>
        <v>入力済</v>
      </c>
      <c r="AX28" s="661" t="str">
        <f>IFERROR(VLOOKUP(K28,'【参考】数式用'!$AR$3:$AS$49,2,FALSE),"")</f>
        <v/>
      </c>
      <c r="AY28" s="656" t="str">
        <f t="shared" si="12"/>
        <v/>
      </c>
      <c r="AZ28" s="656" t="str">
        <f t="shared" si="13"/>
        <v>入力済</v>
      </c>
      <c r="BA28" s="661" t="str">
        <f>IFERROR(VLOOKUP(K28,'【参考】数式用'!$AX$3:$AY$56,2,FALSE),"")</f>
        <v/>
      </c>
      <c r="BB28" s="656" t="str">
        <f t="shared" si="14"/>
        <v/>
      </c>
      <c r="BC28" s="672" t="str">
        <f t="shared" si="15"/>
        <v>入力済</v>
      </c>
      <c r="BD28" s="656" t="str">
        <f t="shared" si="16"/>
        <v/>
      </c>
      <c r="BE28" s="656" t="str">
        <f t="shared" si="17"/>
        <v/>
      </c>
      <c r="BH28" s="680" t="e">
        <f>VLOOKUP(K28,'【参考】数式用'!$A$2:$O$57,15,FALSE)</f>
        <v>#N/A</v>
      </c>
    </row>
    <row r="29" spans="1:60"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IF(基本情報入力シート!AG57="","",基本情報入力シート!AG57)</f>
        <v/>
      </c>
      <c r="N29" s="569"/>
      <c r="O29" s="574" t="str">
        <f>IFERROR(VLOOKUP(K29,'【参考】数式用'!$A$2:$F$57,MATCH(N29,'【参考】数式用'!$C$3:$F$3,0)+2,0),"")</f>
        <v/>
      </c>
      <c r="P29" s="581" t="s">
        <v>543</v>
      </c>
      <c r="Q29" s="586"/>
      <c r="R29" s="588" t="s">
        <v>75</v>
      </c>
      <c r="S29" s="586"/>
      <c r="T29" s="588" t="s">
        <v>159</v>
      </c>
      <c r="U29" s="586"/>
      <c r="V29" s="588" t="s">
        <v>75</v>
      </c>
      <c r="W29" s="586"/>
      <c r="X29" s="588" t="s">
        <v>722</v>
      </c>
      <c r="Y29" s="588" t="s">
        <v>161</v>
      </c>
      <c r="Z29" s="588" t="str">
        <f t="shared" si="0"/>
        <v/>
      </c>
      <c r="AA29" s="592" t="s">
        <v>6</v>
      </c>
      <c r="AB29" s="597" t="str">
        <f t="shared" si="1"/>
        <v/>
      </c>
      <c r="AC29" s="602" t="str">
        <f>IFERROR(ROUNDDOWN(ROUNDDOWN(ROUND(L29*VLOOKUP(K29,'【参考】数式用'!$A$4:$F$57,MATCH("処遇改善加算Ⅳ",'【参考】数式用'!$C$3:$F$3,0)+2,0),0)*M29,0)*Z29*0.5,0),"")</f>
        <v/>
      </c>
      <c r="AD29" s="608"/>
      <c r="AE29" s="616"/>
      <c r="AF29" s="616"/>
      <c r="AG29" s="622"/>
      <c r="AH29" s="625"/>
      <c r="AI29" s="632"/>
      <c r="AJ29" s="638"/>
      <c r="AK29" s="647" t="str">
        <f t="shared" si="2"/>
        <v/>
      </c>
      <c r="AL29" s="650" t="str">
        <f t="shared" si="18"/>
        <v/>
      </c>
      <c r="AM29" s="653"/>
      <c r="AN29" s="656" t="str">
        <f>IFERROR(VLOOKUP(K29,'【参考】数式用'!$A$2:$N$57,14,FALSE),"")</f>
        <v/>
      </c>
      <c r="AO29" s="656" t="str">
        <f t="shared" si="3"/>
        <v/>
      </c>
      <c r="AP29" s="661" t="str">
        <f t="shared" si="4"/>
        <v/>
      </c>
      <c r="AQ29" s="661" t="str">
        <f t="shared" si="5"/>
        <v>入力済</v>
      </c>
      <c r="AR29" s="656" t="str">
        <f t="shared" si="6"/>
        <v/>
      </c>
      <c r="AS29" s="661" t="str">
        <f t="shared" si="7"/>
        <v>入力済</v>
      </c>
      <c r="AT29" s="661" t="str">
        <f t="shared" si="8"/>
        <v/>
      </c>
      <c r="AU29" s="661" t="str">
        <f t="shared" si="9"/>
        <v/>
      </c>
      <c r="AV29" s="656" t="str">
        <f t="shared" si="10"/>
        <v/>
      </c>
      <c r="AW29" s="656" t="str">
        <f t="shared" si="11"/>
        <v>入力済</v>
      </c>
      <c r="AX29" s="661" t="str">
        <f>IFERROR(VLOOKUP(K29,'【参考】数式用'!$AR$3:$AS$49,2,FALSE),"")</f>
        <v/>
      </c>
      <c r="AY29" s="656" t="str">
        <f t="shared" si="12"/>
        <v/>
      </c>
      <c r="AZ29" s="656" t="e">
        <f>IF(AND(N29="処遇改善加算Ⅰ",#REF!=""),"未入力","入力済")</f>
        <v>#REF!</v>
      </c>
      <c r="BA29" s="661" t="str">
        <f>IFERROR(VLOOKUP(K29,'【参考】数式用'!$AX$3:$AY$56,2,FALSE),"")</f>
        <v/>
      </c>
      <c r="BB29" s="656" t="str">
        <f t="shared" si="14"/>
        <v/>
      </c>
      <c r="BC29" s="672" t="str">
        <f t="shared" si="15"/>
        <v>入力済</v>
      </c>
      <c r="BD29" s="656" t="str">
        <f t="shared" si="16"/>
        <v/>
      </c>
      <c r="BE29" s="656" t="str">
        <f t="shared" si="17"/>
        <v/>
      </c>
      <c r="BH29" s="680" t="e">
        <f>VLOOKUP(K29,'【参考】数式用'!$A$2:$O$57,15,FALSE)</f>
        <v>#N/A</v>
      </c>
    </row>
    <row r="30" spans="1:60"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IF(基本情報入力シート!AG58="","",基本情報入力シート!AG58)</f>
        <v/>
      </c>
      <c r="N30" s="569"/>
      <c r="O30" s="574" t="str">
        <f>IFERROR(VLOOKUP(K30,'【参考】数式用'!$A$2:$F$57,MATCH(N30,'【参考】数式用'!$C$3:$F$3,0)+2,0),"")</f>
        <v/>
      </c>
      <c r="P30" s="581" t="s">
        <v>543</v>
      </c>
      <c r="Q30" s="586"/>
      <c r="R30" s="588" t="s">
        <v>75</v>
      </c>
      <c r="S30" s="586"/>
      <c r="T30" s="588" t="s">
        <v>159</v>
      </c>
      <c r="U30" s="586"/>
      <c r="V30" s="588" t="s">
        <v>75</v>
      </c>
      <c r="W30" s="586"/>
      <c r="X30" s="588" t="s">
        <v>10</v>
      </c>
      <c r="Y30" s="588" t="s">
        <v>161</v>
      </c>
      <c r="Z30" s="588" t="str">
        <f t="shared" si="0"/>
        <v/>
      </c>
      <c r="AA30" s="592" t="s">
        <v>6</v>
      </c>
      <c r="AB30" s="597" t="str">
        <f t="shared" si="1"/>
        <v/>
      </c>
      <c r="AC30" s="602" t="str">
        <f>IFERROR(ROUNDDOWN(ROUNDDOWN(ROUND(L30*VLOOKUP(K30,'【参考】数式用'!$A$4:$F$57,MATCH("処遇改善加算Ⅳ",'【参考】数式用'!$C$3:$F$3,0)+2,0),0)*M30,0)*Z30*0.5,0),"")</f>
        <v/>
      </c>
      <c r="AD30" s="608"/>
      <c r="AE30" s="616"/>
      <c r="AF30" s="616"/>
      <c r="AG30" s="622"/>
      <c r="AH30" s="625"/>
      <c r="AI30" s="632"/>
      <c r="AJ30" s="638"/>
      <c r="AK30" s="647" t="str">
        <f t="shared" si="2"/>
        <v/>
      </c>
      <c r="AL30" s="650" t="str">
        <f t="shared" si="18"/>
        <v/>
      </c>
      <c r="AM30" s="653"/>
      <c r="AN30" s="656" t="str">
        <f>IFERROR(VLOOKUP(K30,'【参考】数式用'!$A$2:$N$57,14,FALSE),"")</f>
        <v/>
      </c>
      <c r="AO30" s="656" t="str">
        <f t="shared" si="3"/>
        <v/>
      </c>
      <c r="AP30" s="661" t="str">
        <f t="shared" si="4"/>
        <v/>
      </c>
      <c r="AQ30" s="661" t="str">
        <f t="shared" si="5"/>
        <v>入力済</v>
      </c>
      <c r="AR30" s="656" t="str">
        <f t="shared" si="6"/>
        <v/>
      </c>
      <c r="AS30" s="661" t="str">
        <f t="shared" si="7"/>
        <v>入力済</v>
      </c>
      <c r="AT30" s="661" t="str">
        <f t="shared" si="8"/>
        <v/>
      </c>
      <c r="AU30" s="661" t="str">
        <f t="shared" si="9"/>
        <v/>
      </c>
      <c r="AV30" s="656" t="str">
        <f t="shared" si="10"/>
        <v/>
      </c>
      <c r="AW30" s="656" t="str">
        <f t="shared" si="11"/>
        <v>入力済</v>
      </c>
      <c r="AX30" s="661" t="str">
        <f>IFERROR(VLOOKUP(K30,'【参考】数式用'!$AR$3:$AS$49,2,FALSE),"")</f>
        <v/>
      </c>
      <c r="AY30" s="656" t="str">
        <f t="shared" si="12"/>
        <v/>
      </c>
      <c r="AZ30" s="656" t="str">
        <f t="shared" ref="AZ30:AZ93" si="19">IF(AND(N30="処遇改善加算Ⅰ",AI30=""),"未入力","入力済")</f>
        <v>入力済</v>
      </c>
      <c r="BA30" s="661" t="str">
        <f>IFERROR(VLOOKUP(K30,'【参考】数式用'!$AX$3:$AY$56,2,FALSE),"")</f>
        <v/>
      </c>
      <c r="BB30" s="656" t="str">
        <f t="shared" si="14"/>
        <v/>
      </c>
      <c r="BC30" s="672" t="str">
        <f t="shared" si="15"/>
        <v>入力済</v>
      </c>
      <c r="BD30" s="656" t="str">
        <f t="shared" si="16"/>
        <v/>
      </c>
      <c r="BE30" s="656" t="str">
        <f t="shared" si="17"/>
        <v/>
      </c>
      <c r="BH30" s="680" t="e">
        <f>VLOOKUP(K30,'【参考】数式用'!$A$2:$O$57,15,FALSE)</f>
        <v>#N/A</v>
      </c>
    </row>
    <row r="31" spans="1:60"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IF(基本情報入力シート!AG59="","",基本情報入力シート!AG59)</f>
        <v/>
      </c>
      <c r="N31" s="569"/>
      <c r="O31" s="574" t="str">
        <f>IFERROR(VLOOKUP(K31,'【参考】数式用'!$A$2:$F$57,MATCH(N31,'【参考】数式用'!$C$3:$F$3,0)+2,0),"")</f>
        <v/>
      </c>
      <c r="P31" s="581" t="s">
        <v>543</v>
      </c>
      <c r="Q31" s="586"/>
      <c r="R31" s="588" t="s">
        <v>75</v>
      </c>
      <c r="S31" s="586"/>
      <c r="T31" s="588" t="s">
        <v>159</v>
      </c>
      <c r="U31" s="586"/>
      <c r="V31" s="588" t="s">
        <v>75</v>
      </c>
      <c r="W31" s="586"/>
      <c r="X31" s="588" t="s">
        <v>722</v>
      </c>
      <c r="Y31" s="588" t="s">
        <v>161</v>
      </c>
      <c r="Z31" s="588" t="str">
        <f t="shared" si="0"/>
        <v/>
      </c>
      <c r="AA31" s="592" t="s">
        <v>6</v>
      </c>
      <c r="AB31" s="597" t="str">
        <f t="shared" si="1"/>
        <v/>
      </c>
      <c r="AC31" s="602" t="str">
        <f>IFERROR(ROUNDDOWN(ROUNDDOWN(ROUND(L31*VLOOKUP(K31,'【参考】数式用'!$A$4:$F$57,MATCH("処遇改善加算Ⅳ",'【参考】数式用'!$C$3:$F$3,0)+2,0),0)*M31,0)*Z31*0.5,0),"")</f>
        <v/>
      </c>
      <c r="AD31" s="608"/>
      <c r="AE31" s="616"/>
      <c r="AF31" s="616"/>
      <c r="AG31" s="622"/>
      <c r="AH31" s="625"/>
      <c r="AI31" s="632"/>
      <c r="AJ31" s="632"/>
      <c r="AK31" s="647" t="str">
        <f t="shared" si="2"/>
        <v/>
      </c>
      <c r="AL31" s="650" t="str">
        <f t="shared" si="18"/>
        <v/>
      </c>
      <c r="AM31" s="653"/>
      <c r="AN31" s="656" t="str">
        <f>IFERROR(VLOOKUP(K31,'【参考】数式用'!$A$2:$N$57,14,FALSE),"")</f>
        <v/>
      </c>
      <c r="AO31" s="656" t="str">
        <f t="shared" si="3"/>
        <v/>
      </c>
      <c r="AP31" s="661" t="str">
        <f t="shared" si="4"/>
        <v/>
      </c>
      <c r="AQ31" s="661" t="str">
        <f t="shared" si="5"/>
        <v>入力済</v>
      </c>
      <c r="AR31" s="656" t="str">
        <f t="shared" si="6"/>
        <v/>
      </c>
      <c r="AS31" s="661" t="str">
        <f t="shared" si="7"/>
        <v>入力済</v>
      </c>
      <c r="AT31" s="661" t="str">
        <f t="shared" si="8"/>
        <v/>
      </c>
      <c r="AU31" s="661" t="str">
        <f t="shared" si="9"/>
        <v/>
      </c>
      <c r="AV31" s="656" t="str">
        <f t="shared" si="10"/>
        <v/>
      </c>
      <c r="AW31" s="656" t="str">
        <f t="shared" si="11"/>
        <v>入力済</v>
      </c>
      <c r="AX31" s="661" t="str">
        <f>IFERROR(VLOOKUP(K31,'【参考】数式用'!$AR$3:$AS$49,2,FALSE),"")</f>
        <v/>
      </c>
      <c r="AY31" s="656" t="str">
        <f t="shared" si="12"/>
        <v/>
      </c>
      <c r="AZ31" s="656" t="str">
        <f t="shared" si="19"/>
        <v>入力済</v>
      </c>
      <c r="BA31" s="661" t="str">
        <f>IFERROR(VLOOKUP(K31,'【参考】数式用'!$AX$3:$AY$56,2,FALSE),"")</f>
        <v/>
      </c>
      <c r="BB31" s="656" t="str">
        <f t="shared" si="14"/>
        <v/>
      </c>
      <c r="BC31" s="672" t="str">
        <f t="shared" si="15"/>
        <v>入力済</v>
      </c>
      <c r="BD31" s="656" t="str">
        <f t="shared" si="16"/>
        <v/>
      </c>
      <c r="BE31" s="656" t="str">
        <f t="shared" si="17"/>
        <v/>
      </c>
      <c r="BH31" s="680" t="e">
        <f>VLOOKUP(K31,'【参考】数式用'!$A$2:$O$57,15,FALSE)</f>
        <v>#N/A</v>
      </c>
    </row>
    <row r="32" spans="1:60"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IF(基本情報入力シート!AG60="","",基本情報入力シート!AG60)</f>
        <v/>
      </c>
      <c r="N32" s="569"/>
      <c r="O32" s="574" t="str">
        <f>IFERROR(VLOOKUP(K32,'【参考】数式用'!$A$2:$F$57,MATCH(N32,'【参考】数式用'!$C$3:$F$3,0)+2,0),"")</f>
        <v/>
      </c>
      <c r="P32" s="581" t="s">
        <v>543</v>
      </c>
      <c r="Q32" s="586"/>
      <c r="R32" s="588" t="s">
        <v>75</v>
      </c>
      <c r="S32" s="586"/>
      <c r="T32" s="588" t="s">
        <v>159</v>
      </c>
      <c r="U32" s="586"/>
      <c r="V32" s="588" t="s">
        <v>75</v>
      </c>
      <c r="W32" s="586"/>
      <c r="X32" s="588" t="s">
        <v>722</v>
      </c>
      <c r="Y32" s="588" t="s">
        <v>161</v>
      </c>
      <c r="Z32" s="588" t="str">
        <f t="shared" si="0"/>
        <v/>
      </c>
      <c r="AA32" s="592" t="s">
        <v>6</v>
      </c>
      <c r="AB32" s="597" t="str">
        <f t="shared" si="1"/>
        <v/>
      </c>
      <c r="AC32" s="602" t="str">
        <f>IFERROR(ROUNDDOWN(ROUNDDOWN(ROUND(L32*VLOOKUP(K32,'【参考】数式用'!$A$4:$F$57,MATCH("処遇改善加算Ⅳ",'【参考】数式用'!$C$3:$F$3,0)+2,0),0)*M32,0)*Z32*0.5,0),"")</f>
        <v/>
      </c>
      <c r="AD32" s="608"/>
      <c r="AE32" s="616"/>
      <c r="AF32" s="616"/>
      <c r="AG32" s="622"/>
      <c r="AH32" s="625"/>
      <c r="AI32" s="632"/>
      <c r="AJ32" s="632"/>
      <c r="AK32" s="647" t="str">
        <f t="shared" si="2"/>
        <v/>
      </c>
      <c r="AL32" s="650" t="str">
        <f t="shared" si="18"/>
        <v/>
      </c>
      <c r="AM32" s="653"/>
      <c r="AN32" s="656" t="str">
        <f>IFERROR(VLOOKUP(K32,'【参考】数式用'!$A$2:$N$57,14,FALSE),"")</f>
        <v/>
      </c>
      <c r="AO32" s="656" t="str">
        <f t="shared" si="3"/>
        <v/>
      </c>
      <c r="AP32" s="661" t="str">
        <f t="shared" si="4"/>
        <v/>
      </c>
      <c r="AQ32" s="661" t="str">
        <f t="shared" si="5"/>
        <v>入力済</v>
      </c>
      <c r="AR32" s="656" t="str">
        <f t="shared" si="6"/>
        <v/>
      </c>
      <c r="AS32" s="661" t="str">
        <f t="shared" si="7"/>
        <v>入力済</v>
      </c>
      <c r="AT32" s="661" t="str">
        <f t="shared" si="8"/>
        <v/>
      </c>
      <c r="AU32" s="661" t="str">
        <f t="shared" si="9"/>
        <v/>
      </c>
      <c r="AV32" s="656" t="str">
        <f t="shared" si="10"/>
        <v/>
      </c>
      <c r="AW32" s="656" t="str">
        <f t="shared" si="11"/>
        <v>入力済</v>
      </c>
      <c r="AX32" s="661" t="str">
        <f>IFERROR(VLOOKUP(K32,'【参考】数式用'!$AR$3:$AS$49,2,FALSE),"")</f>
        <v/>
      </c>
      <c r="AY32" s="656" t="str">
        <f t="shared" si="12"/>
        <v/>
      </c>
      <c r="AZ32" s="656" t="str">
        <f t="shared" si="19"/>
        <v>入力済</v>
      </c>
      <c r="BA32" s="661" t="str">
        <f>IFERROR(VLOOKUP(K32,'【参考】数式用'!$AX$3:$AY$56,2,FALSE),"")</f>
        <v/>
      </c>
      <c r="BB32" s="656" t="str">
        <f t="shared" si="14"/>
        <v/>
      </c>
      <c r="BC32" s="672" t="str">
        <f t="shared" si="15"/>
        <v>入力済</v>
      </c>
      <c r="BD32" s="656" t="str">
        <f t="shared" si="16"/>
        <v/>
      </c>
      <c r="BE32" s="656" t="str">
        <f t="shared" si="17"/>
        <v/>
      </c>
      <c r="BH32" s="680" t="e">
        <f>VLOOKUP(K32,'【参考】数式用'!$A$2:$O$57,15,FALSE)</f>
        <v>#N/A</v>
      </c>
    </row>
    <row r="33" spans="1:67"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IF(基本情報入力シート!AG61="","",基本情報入力シート!AG61)</f>
        <v/>
      </c>
      <c r="N33" s="569"/>
      <c r="O33" s="574" t="str">
        <f>IFERROR(VLOOKUP(K33,'【参考】数式用'!$A$2:$F$57,MATCH(N33,'【参考】数式用'!$C$3:$F$3,0)+2,0),"")</f>
        <v/>
      </c>
      <c r="P33" s="581" t="s">
        <v>543</v>
      </c>
      <c r="Q33" s="586"/>
      <c r="R33" s="588" t="s">
        <v>75</v>
      </c>
      <c r="S33" s="586"/>
      <c r="T33" s="588" t="s">
        <v>159</v>
      </c>
      <c r="U33" s="586"/>
      <c r="V33" s="588" t="s">
        <v>75</v>
      </c>
      <c r="W33" s="586"/>
      <c r="X33" s="588" t="s">
        <v>722</v>
      </c>
      <c r="Y33" s="588" t="s">
        <v>161</v>
      </c>
      <c r="Z33" s="588" t="str">
        <f t="shared" si="0"/>
        <v/>
      </c>
      <c r="AA33" s="592" t="s">
        <v>6</v>
      </c>
      <c r="AB33" s="597" t="str">
        <f t="shared" si="1"/>
        <v/>
      </c>
      <c r="AC33" s="602" t="str">
        <f>IFERROR(ROUNDDOWN(ROUNDDOWN(ROUND(L33*VLOOKUP(K33,'【参考】数式用'!$A$4:$F$57,MATCH("処遇改善加算Ⅳ",'【参考】数式用'!$C$3:$F$3,0)+2,0),0)*M33,0)*Z33*0.5,0),"")</f>
        <v/>
      </c>
      <c r="AD33" s="608"/>
      <c r="AE33" s="616"/>
      <c r="AF33" s="616"/>
      <c r="AG33" s="622"/>
      <c r="AH33" s="625"/>
      <c r="AI33" s="632"/>
      <c r="AJ33" s="632"/>
      <c r="AK33" s="647" t="str">
        <f t="shared" si="2"/>
        <v/>
      </c>
      <c r="AL33" s="650" t="str">
        <f t="shared" si="18"/>
        <v/>
      </c>
      <c r="AM33" s="653"/>
      <c r="AN33" s="656" t="str">
        <f>IFERROR(VLOOKUP(K33,'【参考】数式用'!$A$2:$N$57,14,FALSE),"")</f>
        <v/>
      </c>
      <c r="AO33" s="656" t="str">
        <f t="shared" si="3"/>
        <v/>
      </c>
      <c r="AP33" s="661" t="str">
        <f t="shared" si="4"/>
        <v/>
      </c>
      <c r="AQ33" s="661" t="str">
        <f t="shared" si="5"/>
        <v>入力済</v>
      </c>
      <c r="AR33" s="656" t="str">
        <f t="shared" si="6"/>
        <v/>
      </c>
      <c r="AS33" s="661" t="str">
        <f t="shared" si="7"/>
        <v>入力済</v>
      </c>
      <c r="AT33" s="661" t="str">
        <f t="shared" si="8"/>
        <v/>
      </c>
      <c r="AU33" s="661" t="str">
        <f t="shared" si="9"/>
        <v/>
      </c>
      <c r="AV33" s="656" t="str">
        <f t="shared" si="10"/>
        <v/>
      </c>
      <c r="AW33" s="656" t="str">
        <f t="shared" si="11"/>
        <v>入力済</v>
      </c>
      <c r="AX33" s="661" t="str">
        <f>IFERROR(VLOOKUP(K33,'【参考】数式用'!$AR$3:$AS$49,2,FALSE),"")</f>
        <v/>
      </c>
      <c r="AY33" s="656" t="str">
        <f t="shared" si="12"/>
        <v/>
      </c>
      <c r="AZ33" s="656" t="str">
        <f t="shared" si="19"/>
        <v>入力済</v>
      </c>
      <c r="BA33" s="661" t="str">
        <f>IFERROR(VLOOKUP(K33,'【参考】数式用'!$AX$3:$AY$56,2,FALSE),"")</f>
        <v/>
      </c>
      <c r="BB33" s="656" t="str">
        <f t="shared" si="14"/>
        <v/>
      </c>
      <c r="BC33" s="672" t="str">
        <f t="shared" si="15"/>
        <v>入力済</v>
      </c>
      <c r="BD33" s="656" t="str">
        <f t="shared" si="16"/>
        <v/>
      </c>
      <c r="BE33" s="656" t="str">
        <f t="shared" si="17"/>
        <v/>
      </c>
      <c r="BH33" s="680" t="e">
        <f>VLOOKUP(K33,'【参考】数式用'!$A$2:$O$57,15,FALSE)</f>
        <v>#N/A</v>
      </c>
    </row>
    <row r="34" spans="1:67"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IF(基本情報入力シート!AG62="","",基本情報入力シート!AG62)</f>
        <v/>
      </c>
      <c r="N34" s="569"/>
      <c r="O34" s="574" t="str">
        <f>IFERROR(VLOOKUP(K34,'【参考】数式用'!$A$2:$F$57,MATCH(N34,'【参考】数式用'!$C$3:$F$3,0)+2,0),"")</f>
        <v/>
      </c>
      <c r="P34" s="581" t="s">
        <v>543</v>
      </c>
      <c r="Q34" s="586"/>
      <c r="R34" s="588" t="s">
        <v>75</v>
      </c>
      <c r="S34" s="586"/>
      <c r="T34" s="588" t="s">
        <v>159</v>
      </c>
      <c r="U34" s="586"/>
      <c r="V34" s="588" t="s">
        <v>75</v>
      </c>
      <c r="W34" s="586"/>
      <c r="X34" s="588" t="s">
        <v>10</v>
      </c>
      <c r="Y34" s="588" t="s">
        <v>161</v>
      </c>
      <c r="Z34" s="588" t="str">
        <f t="shared" si="0"/>
        <v/>
      </c>
      <c r="AA34" s="592" t="s">
        <v>6</v>
      </c>
      <c r="AB34" s="597" t="str">
        <f t="shared" si="1"/>
        <v/>
      </c>
      <c r="AC34" s="602" t="str">
        <f>IFERROR(ROUNDDOWN(ROUNDDOWN(ROUND(L34*VLOOKUP(K34,'【参考】数式用'!$A$4:$F$57,MATCH("処遇改善加算Ⅳ",'【参考】数式用'!$C$3:$F$3,0)+2,0),0)*M34,0)*Z34*0.5,0),"")</f>
        <v/>
      </c>
      <c r="AD34" s="608"/>
      <c r="AE34" s="616"/>
      <c r="AF34" s="616"/>
      <c r="AG34" s="622"/>
      <c r="AH34" s="625"/>
      <c r="AI34" s="632"/>
      <c r="AJ34" s="632"/>
      <c r="AK34" s="647" t="str">
        <f t="shared" si="2"/>
        <v/>
      </c>
      <c r="AL34" s="650" t="str">
        <f t="shared" si="18"/>
        <v/>
      </c>
      <c r="AM34" s="653"/>
      <c r="AN34" s="656" t="str">
        <f>IFERROR(VLOOKUP(K34,'【参考】数式用'!$A$2:$N$57,14,FALSE),"")</f>
        <v/>
      </c>
      <c r="AO34" s="656" t="str">
        <f t="shared" si="3"/>
        <v/>
      </c>
      <c r="AP34" s="661" t="str">
        <f t="shared" si="4"/>
        <v/>
      </c>
      <c r="AQ34" s="661" t="str">
        <f t="shared" si="5"/>
        <v>入力済</v>
      </c>
      <c r="AR34" s="656" t="str">
        <f t="shared" si="6"/>
        <v/>
      </c>
      <c r="AS34" s="661" t="str">
        <f t="shared" si="7"/>
        <v>入力済</v>
      </c>
      <c r="AT34" s="661" t="str">
        <f t="shared" si="8"/>
        <v/>
      </c>
      <c r="AU34" s="661" t="str">
        <f t="shared" si="9"/>
        <v/>
      </c>
      <c r="AV34" s="656" t="str">
        <f t="shared" si="10"/>
        <v/>
      </c>
      <c r="AW34" s="656" t="str">
        <f t="shared" si="11"/>
        <v>入力済</v>
      </c>
      <c r="AX34" s="661" t="str">
        <f>IFERROR(VLOOKUP(K34,'【参考】数式用'!$AR$3:$AS$49,2,FALSE),"")</f>
        <v/>
      </c>
      <c r="AY34" s="656" t="str">
        <f t="shared" si="12"/>
        <v/>
      </c>
      <c r="AZ34" s="656" t="str">
        <f t="shared" si="19"/>
        <v>入力済</v>
      </c>
      <c r="BA34" s="661" t="str">
        <f>IFERROR(VLOOKUP(K34,'【参考】数式用'!$AX$3:$AY$56,2,FALSE),"")</f>
        <v/>
      </c>
      <c r="BB34" s="656" t="str">
        <f t="shared" si="14"/>
        <v/>
      </c>
      <c r="BC34" s="672" t="str">
        <f t="shared" si="15"/>
        <v>入力済</v>
      </c>
      <c r="BD34" s="656" t="str">
        <f t="shared" si="16"/>
        <v/>
      </c>
      <c r="BE34" s="656" t="str">
        <f t="shared" si="17"/>
        <v/>
      </c>
      <c r="BH34" s="680" t="e">
        <f>VLOOKUP(K34,'【参考】数式用'!$A$2:$O$57,15,FALSE)</f>
        <v>#N/A</v>
      </c>
    </row>
    <row r="35" spans="1:67"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IF(基本情報入力シート!AG63="","",基本情報入力シート!AG63)</f>
        <v/>
      </c>
      <c r="N35" s="569"/>
      <c r="O35" s="574" t="str">
        <f>IFERROR(VLOOKUP(K35,'【参考】数式用'!$A$2:$F$57,MATCH(N35,'【参考】数式用'!$C$3:$F$3,0)+2,0),"")</f>
        <v/>
      </c>
      <c r="P35" s="581" t="s">
        <v>543</v>
      </c>
      <c r="Q35" s="586"/>
      <c r="R35" s="588" t="s">
        <v>75</v>
      </c>
      <c r="S35" s="586"/>
      <c r="T35" s="588" t="s">
        <v>159</v>
      </c>
      <c r="U35" s="586"/>
      <c r="V35" s="588" t="s">
        <v>75</v>
      </c>
      <c r="W35" s="586"/>
      <c r="X35" s="588" t="s">
        <v>10</v>
      </c>
      <c r="Y35" s="588" t="s">
        <v>161</v>
      </c>
      <c r="Z35" s="588" t="str">
        <f t="shared" si="0"/>
        <v/>
      </c>
      <c r="AA35" s="592" t="s">
        <v>6</v>
      </c>
      <c r="AB35" s="597" t="str">
        <f t="shared" si="1"/>
        <v/>
      </c>
      <c r="AC35" s="602" t="str">
        <f>IFERROR(ROUNDDOWN(ROUNDDOWN(ROUND(L35*VLOOKUP(K35,'【参考】数式用'!$A$4:$F$57,MATCH("処遇改善加算Ⅳ",'【参考】数式用'!$C$3:$F$3,0)+2,0),0)*M35,0)*Z35*0.5,0),"")</f>
        <v/>
      </c>
      <c r="AD35" s="608"/>
      <c r="AE35" s="616"/>
      <c r="AF35" s="616"/>
      <c r="AG35" s="622"/>
      <c r="AH35" s="625"/>
      <c r="AI35" s="632"/>
      <c r="AJ35" s="632"/>
      <c r="AK35" s="647" t="str">
        <f t="shared" si="2"/>
        <v/>
      </c>
      <c r="AL35" s="650" t="str">
        <f t="shared" si="18"/>
        <v/>
      </c>
      <c r="AM35" s="653"/>
      <c r="AN35" s="656" t="str">
        <f>IFERROR(VLOOKUP(K35,'【参考】数式用'!$A$2:$N$57,14,FALSE),"")</f>
        <v/>
      </c>
      <c r="AO35" s="656" t="str">
        <f t="shared" si="3"/>
        <v/>
      </c>
      <c r="AP35" s="661" t="str">
        <f t="shared" si="4"/>
        <v/>
      </c>
      <c r="AQ35" s="661" t="str">
        <f t="shared" si="5"/>
        <v>入力済</v>
      </c>
      <c r="AR35" s="656" t="str">
        <f t="shared" si="6"/>
        <v/>
      </c>
      <c r="AS35" s="661" t="str">
        <f t="shared" si="7"/>
        <v>入力済</v>
      </c>
      <c r="AT35" s="661" t="str">
        <f t="shared" si="8"/>
        <v/>
      </c>
      <c r="AU35" s="661" t="str">
        <f t="shared" si="9"/>
        <v/>
      </c>
      <c r="AV35" s="656" t="str">
        <f t="shared" si="10"/>
        <v/>
      </c>
      <c r="AW35" s="656" t="str">
        <f t="shared" si="11"/>
        <v>入力済</v>
      </c>
      <c r="AX35" s="661" t="str">
        <f>IFERROR(VLOOKUP(K35,'【参考】数式用'!$AR$3:$AS$49,2,FALSE),"")</f>
        <v/>
      </c>
      <c r="AY35" s="656" t="str">
        <f t="shared" si="12"/>
        <v/>
      </c>
      <c r="AZ35" s="656" t="str">
        <f t="shared" si="19"/>
        <v>入力済</v>
      </c>
      <c r="BA35" s="661" t="str">
        <f>IFERROR(VLOOKUP(K35,'【参考】数式用'!$AX$3:$AY$56,2,FALSE),"")</f>
        <v/>
      </c>
      <c r="BB35" s="656" t="str">
        <f t="shared" si="14"/>
        <v/>
      </c>
      <c r="BC35" s="672" t="str">
        <f t="shared" si="15"/>
        <v>入力済</v>
      </c>
      <c r="BD35" s="656" t="str">
        <f t="shared" si="16"/>
        <v/>
      </c>
      <c r="BE35" s="656" t="str">
        <f t="shared" si="17"/>
        <v/>
      </c>
      <c r="BH35" s="680" t="e">
        <f>VLOOKUP(K35,'【参考】数式用'!$A$2:$O$57,15,FALSE)</f>
        <v>#N/A</v>
      </c>
    </row>
    <row r="36" spans="1:67"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IF(基本情報入力シート!AG64="","",基本情報入力シート!AG64)</f>
        <v/>
      </c>
      <c r="N36" s="569"/>
      <c r="O36" s="574" t="str">
        <f>IFERROR(VLOOKUP(K36,'【参考】数式用'!$A$2:$F$57,MATCH(N36,'【参考】数式用'!$C$3:$F$3,0)+2,0),"")</f>
        <v/>
      </c>
      <c r="P36" s="581" t="s">
        <v>543</v>
      </c>
      <c r="Q36" s="586"/>
      <c r="R36" s="588" t="s">
        <v>75</v>
      </c>
      <c r="S36" s="586"/>
      <c r="T36" s="588" t="s">
        <v>159</v>
      </c>
      <c r="U36" s="586"/>
      <c r="V36" s="588" t="s">
        <v>75</v>
      </c>
      <c r="W36" s="586"/>
      <c r="X36" s="588" t="s">
        <v>722</v>
      </c>
      <c r="Y36" s="588" t="s">
        <v>161</v>
      </c>
      <c r="Z36" s="588" t="str">
        <f t="shared" si="0"/>
        <v/>
      </c>
      <c r="AA36" s="592" t="s">
        <v>6</v>
      </c>
      <c r="AB36" s="597" t="str">
        <f t="shared" si="1"/>
        <v/>
      </c>
      <c r="AC36" s="602" t="str">
        <f>IFERROR(ROUNDDOWN(ROUNDDOWN(ROUND(L36*VLOOKUP(K36,'【参考】数式用'!$A$4:$F$57,MATCH("処遇改善加算Ⅳ",'【参考】数式用'!$C$3:$F$3,0)+2,0),0)*M36,0)*Z36*0.5,0),"")</f>
        <v/>
      </c>
      <c r="AD36" s="608"/>
      <c r="AE36" s="616"/>
      <c r="AF36" s="616"/>
      <c r="AG36" s="622"/>
      <c r="AH36" s="625"/>
      <c r="AI36" s="632"/>
      <c r="AJ36" s="632"/>
      <c r="AK36" s="647" t="str">
        <f t="shared" si="2"/>
        <v/>
      </c>
      <c r="AL36" s="650" t="str">
        <f t="shared" si="18"/>
        <v/>
      </c>
      <c r="AM36" s="653"/>
      <c r="AN36" s="656" t="str">
        <f>IFERROR(VLOOKUP(K36,'【参考】数式用'!$A$2:$N$57,14,FALSE),"")</f>
        <v/>
      </c>
      <c r="AO36" s="656" t="str">
        <f t="shared" si="3"/>
        <v/>
      </c>
      <c r="AP36" s="661" t="str">
        <f t="shared" si="4"/>
        <v/>
      </c>
      <c r="AQ36" s="661" t="str">
        <f t="shared" si="5"/>
        <v>入力済</v>
      </c>
      <c r="AR36" s="656" t="str">
        <f t="shared" si="6"/>
        <v/>
      </c>
      <c r="AS36" s="661" t="str">
        <f t="shared" si="7"/>
        <v>入力済</v>
      </c>
      <c r="AT36" s="661" t="str">
        <f t="shared" si="8"/>
        <v/>
      </c>
      <c r="AU36" s="661" t="str">
        <f t="shared" si="9"/>
        <v/>
      </c>
      <c r="AV36" s="656" t="str">
        <f t="shared" si="10"/>
        <v/>
      </c>
      <c r="AW36" s="656" t="str">
        <f t="shared" si="11"/>
        <v>入力済</v>
      </c>
      <c r="AX36" s="661" t="str">
        <f>IFERROR(VLOOKUP(K36,'【参考】数式用'!$AR$3:$AS$49,2,FALSE),"")</f>
        <v/>
      </c>
      <c r="AY36" s="656" t="str">
        <f t="shared" si="12"/>
        <v/>
      </c>
      <c r="AZ36" s="656" t="str">
        <f t="shared" si="19"/>
        <v>入力済</v>
      </c>
      <c r="BA36" s="661" t="str">
        <f>IFERROR(VLOOKUP(K36,'【参考】数式用'!$AX$3:$AY$56,2,FALSE),"")</f>
        <v/>
      </c>
      <c r="BB36" s="656" t="str">
        <f t="shared" si="14"/>
        <v/>
      </c>
      <c r="BC36" s="672" t="str">
        <f t="shared" si="15"/>
        <v>入力済</v>
      </c>
      <c r="BD36" s="656" t="str">
        <f t="shared" si="16"/>
        <v/>
      </c>
      <c r="BE36" s="656" t="str">
        <f t="shared" si="17"/>
        <v/>
      </c>
      <c r="BH36" s="680" t="e">
        <f>VLOOKUP(K36,'【参考】数式用'!$A$2:$O$57,15,FALSE)</f>
        <v>#N/A</v>
      </c>
    </row>
    <row r="37" spans="1:67"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IF(基本情報入力シート!AG65="","",基本情報入力シート!AG65)</f>
        <v/>
      </c>
      <c r="N37" s="569"/>
      <c r="O37" s="574" t="str">
        <f>IFERROR(VLOOKUP(K37,'【参考】数式用'!$A$2:$F$57,MATCH(N37,'【参考】数式用'!$C$3:$F$3,0)+2,0),"")</f>
        <v/>
      </c>
      <c r="P37" s="581" t="s">
        <v>543</v>
      </c>
      <c r="Q37" s="586"/>
      <c r="R37" s="588" t="s">
        <v>75</v>
      </c>
      <c r="S37" s="586"/>
      <c r="T37" s="588" t="s">
        <v>159</v>
      </c>
      <c r="U37" s="586"/>
      <c r="V37" s="588" t="s">
        <v>75</v>
      </c>
      <c r="W37" s="586"/>
      <c r="X37" s="588" t="s">
        <v>722</v>
      </c>
      <c r="Y37" s="588" t="s">
        <v>161</v>
      </c>
      <c r="Z37" s="588" t="str">
        <f t="shared" si="0"/>
        <v/>
      </c>
      <c r="AA37" s="592" t="s">
        <v>6</v>
      </c>
      <c r="AB37" s="597" t="str">
        <f t="shared" si="1"/>
        <v/>
      </c>
      <c r="AC37" s="602" t="str">
        <f>IFERROR(ROUNDDOWN(ROUNDDOWN(ROUND(L37*VLOOKUP(K37,'【参考】数式用'!$A$4:$F$57,MATCH("処遇改善加算Ⅳ",'【参考】数式用'!$C$3:$F$3,0)+2,0),0)*M37,0)*Z37*0.5,0),"")</f>
        <v/>
      </c>
      <c r="AD37" s="608"/>
      <c r="AE37" s="616"/>
      <c r="AF37" s="616"/>
      <c r="AG37" s="622"/>
      <c r="AH37" s="625"/>
      <c r="AI37" s="632"/>
      <c r="AJ37" s="632"/>
      <c r="AK37" s="647" t="str">
        <f t="shared" si="2"/>
        <v/>
      </c>
      <c r="AL37" s="650" t="str">
        <f t="shared" si="18"/>
        <v/>
      </c>
      <c r="AM37" s="653"/>
      <c r="AN37" s="656" t="str">
        <f>IFERROR(VLOOKUP(K37,'【参考】数式用'!$A$2:$N$57,14,FALSE),"")</f>
        <v/>
      </c>
      <c r="AO37" s="656" t="str">
        <f t="shared" si="3"/>
        <v/>
      </c>
      <c r="AP37" s="661" t="str">
        <f t="shared" si="4"/>
        <v/>
      </c>
      <c r="AQ37" s="661" t="str">
        <f t="shared" si="5"/>
        <v>入力済</v>
      </c>
      <c r="AR37" s="656" t="str">
        <f t="shared" si="6"/>
        <v/>
      </c>
      <c r="AS37" s="661" t="str">
        <f t="shared" si="7"/>
        <v>入力済</v>
      </c>
      <c r="AT37" s="661" t="str">
        <f t="shared" si="8"/>
        <v/>
      </c>
      <c r="AU37" s="661" t="str">
        <f t="shared" si="9"/>
        <v/>
      </c>
      <c r="AV37" s="656" t="str">
        <f t="shared" si="10"/>
        <v/>
      </c>
      <c r="AW37" s="656" t="str">
        <f t="shared" si="11"/>
        <v>入力済</v>
      </c>
      <c r="AX37" s="661" t="str">
        <f>IFERROR(VLOOKUP(K37,'【参考】数式用'!$AR$3:$AS$49,2,FALSE),"")</f>
        <v/>
      </c>
      <c r="AY37" s="656" t="str">
        <f t="shared" si="12"/>
        <v/>
      </c>
      <c r="AZ37" s="656" t="str">
        <f t="shared" si="19"/>
        <v>入力済</v>
      </c>
      <c r="BA37" s="661" t="str">
        <f>IFERROR(VLOOKUP(K37,'【参考】数式用'!$AX$3:$AY$56,2,FALSE),"")</f>
        <v/>
      </c>
      <c r="BB37" s="656" t="str">
        <f t="shared" si="14"/>
        <v/>
      </c>
      <c r="BC37" s="672" t="str">
        <f t="shared" si="15"/>
        <v>入力済</v>
      </c>
      <c r="BD37" s="656" t="str">
        <f t="shared" si="16"/>
        <v/>
      </c>
      <c r="BE37" s="656" t="str">
        <f t="shared" si="17"/>
        <v/>
      </c>
      <c r="BH37" s="680" t="e">
        <f>VLOOKUP(K37,'【参考】数式用'!$A$2:$O$57,15,FALSE)</f>
        <v>#N/A</v>
      </c>
    </row>
    <row r="38" spans="1:67"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IF(基本情報入力シート!AG66="","",基本情報入力シート!AG66)</f>
        <v/>
      </c>
      <c r="N38" s="569"/>
      <c r="O38" s="574" t="str">
        <f>IFERROR(VLOOKUP(K38,'【参考】数式用'!$A$2:$F$57,MATCH(N38,'【参考】数式用'!$C$3:$F$3,0)+2,0),"")</f>
        <v/>
      </c>
      <c r="P38" s="581" t="s">
        <v>543</v>
      </c>
      <c r="Q38" s="586"/>
      <c r="R38" s="588" t="s">
        <v>75</v>
      </c>
      <c r="S38" s="586"/>
      <c r="T38" s="588" t="s">
        <v>159</v>
      </c>
      <c r="U38" s="586"/>
      <c r="V38" s="588" t="s">
        <v>75</v>
      </c>
      <c r="W38" s="586"/>
      <c r="X38" s="588" t="s">
        <v>722</v>
      </c>
      <c r="Y38" s="588" t="s">
        <v>161</v>
      </c>
      <c r="Z38" s="588" t="str">
        <f t="shared" si="0"/>
        <v/>
      </c>
      <c r="AA38" s="592" t="s">
        <v>6</v>
      </c>
      <c r="AB38" s="597" t="str">
        <f t="shared" si="1"/>
        <v/>
      </c>
      <c r="AC38" s="602" t="str">
        <f>IFERROR(ROUNDDOWN(ROUNDDOWN(ROUND(L38*VLOOKUP(K38,'【参考】数式用'!$A$4:$F$57,MATCH("処遇改善加算Ⅳ",'【参考】数式用'!$C$3:$F$3,0)+2,0),0)*M38,0)*Z38*0.5,0),"")</f>
        <v/>
      </c>
      <c r="AD38" s="608"/>
      <c r="AE38" s="616"/>
      <c r="AF38" s="616"/>
      <c r="AG38" s="622"/>
      <c r="AH38" s="625"/>
      <c r="AI38" s="632"/>
      <c r="AJ38" s="632"/>
      <c r="AK38" s="647" t="str">
        <f t="shared" si="2"/>
        <v/>
      </c>
      <c r="AL38" s="650" t="str">
        <f t="shared" si="18"/>
        <v/>
      </c>
      <c r="AM38" s="653"/>
      <c r="AN38" s="656" t="str">
        <f>IFERROR(VLOOKUP(K38,'【参考】数式用'!$A$2:$N$57,14,FALSE),"")</f>
        <v/>
      </c>
      <c r="AO38" s="656" t="str">
        <f t="shared" si="3"/>
        <v/>
      </c>
      <c r="AP38" s="661" t="str">
        <f t="shared" si="4"/>
        <v/>
      </c>
      <c r="AQ38" s="661" t="str">
        <f t="shared" si="5"/>
        <v>入力済</v>
      </c>
      <c r="AR38" s="656" t="str">
        <f t="shared" si="6"/>
        <v/>
      </c>
      <c r="AS38" s="661" t="str">
        <f t="shared" si="7"/>
        <v>入力済</v>
      </c>
      <c r="AT38" s="661" t="str">
        <f t="shared" si="8"/>
        <v/>
      </c>
      <c r="AU38" s="661" t="str">
        <f t="shared" si="9"/>
        <v/>
      </c>
      <c r="AV38" s="656" t="str">
        <f t="shared" si="10"/>
        <v/>
      </c>
      <c r="AW38" s="656" t="str">
        <f t="shared" si="11"/>
        <v>入力済</v>
      </c>
      <c r="AX38" s="661" t="str">
        <f>IFERROR(VLOOKUP(K38,'【参考】数式用'!$AR$3:$AS$49,2,FALSE),"")</f>
        <v/>
      </c>
      <c r="AY38" s="656" t="str">
        <f t="shared" si="12"/>
        <v/>
      </c>
      <c r="AZ38" s="656" t="str">
        <f t="shared" si="19"/>
        <v>入力済</v>
      </c>
      <c r="BA38" s="661" t="str">
        <f>IFERROR(VLOOKUP(K38,'【参考】数式用'!$AX$3:$AY$56,2,FALSE),"")</f>
        <v/>
      </c>
      <c r="BB38" s="656" t="str">
        <f t="shared" si="14"/>
        <v/>
      </c>
      <c r="BC38" s="672" t="str">
        <f t="shared" si="15"/>
        <v>入力済</v>
      </c>
      <c r="BD38" s="656" t="str">
        <f t="shared" si="16"/>
        <v/>
      </c>
      <c r="BE38" s="656" t="str">
        <f t="shared" si="17"/>
        <v/>
      </c>
      <c r="BH38" s="680" t="e">
        <f>VLOOKUP(K38,'【参考】数式用'!$A$2:$O$57,15,FALSE)</f>
        <v>#N/A</v>
      </c>
    </row>
    <row r="39" spans="1:67"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IF(基本情報入力シート!AG67="","",基本情報入力シート!AG67)</f>
        <v/>
      </c>
      <c r="N39" s="569"/>
      <c r="O39" s="574" t="str">
        <f>IFERROR(VLOOKUP(K39,'【参考】数式用'!$A$2:$F$57,MATCH(N39,'【参考】数式用'!$C$3:$F$3,0)+2,0),"")</f>
        <v/>
      </c>
      <c r="P39" s="581" t="s">
        <v>543</v>
      </c>
      <c r="Q39" s="586"/>
      <c r="R39" s="588" t="s">
        <v>75</v>
      </c>
      <c r="S39" s="586"/>
      <c r="T39" s="588" t="s">
        <v>159</v>
      </c>
      <c r="U39" s="586"/>
      <c r="V39" s="588" t="s">
        <v>75</v>
      </c>
      <c r="W39" s="586"/>
      <c r="X39" s="588" t="s">
        <v>10</v>
      </c>
      <c r="Y39" s="588" t="s">
        <v>161</v>
      </c>
      <c r="Z39" s="588" t="str">
        <f t="shared" si="0"/>
        <v/>
      </c>
      <c r="AA39" s="592" t="s">
        <v>6</v>
      </c>
      <c r="AB39" s="597" t="str">
        <f t="shared" si="1"/>
        <v/>
      </c>
      <c r="AC39" s="602" t="str">
        <f>IFERROR(ROUNDDOWN(ROUNDDOWN(ROUND(L39*VLOOKUP(K39,'【参考】数式用'!$A$4:$F$57,MATCH("処遇改善加算Ⅳ",'【参考】数式用'!$C$3:$F$3,0)+2,0),0)*M39,0)*Z39*0.5,0),"")</f>
        <v/>
      </c>
      <c r="AD39" s="608"/>
      <c r="AE39" s="616"/>
      <c r="AF39" s="616"/>
      <c r="AG39" s="622"/>
      <c r="AH39" s="625"/>
      <c r="AI39" s="632"/>
      <c r="AJ39" s="632"/>
      <c r="AK39" s="647" t="str">
        <f t="shared" si="2"/>
        <v/>
      </c>
      <c r="AL39" s="650" t="str">
        <f t="shared" si="18"/>
        <v/>
      </c>
      <c r="AM39" s="653"/>
      <c r="AN39" s="656" t="str">
        <f>IFERROR(VLOOKUP(K39,'【参考】数式用'!$A$2:$N$57,14,FALSE),"")</f>
        <v/>
      </c>
      <c r="AO39" s="656" t="str">
        <f t="shared" si="3"/>
        <v/>
      </c>
      <c r="AP39" s="661" t="str">
        <f t="shared" si="4"/>
        <v/>
      </c>
      <c r="AQ39" s="661" t="str">
        <f t="shared" si="5"/>
        <v>入力済</v>
      </c>
      <c r="AR39" s="656" t="str">
        <f t="shared" si="6"/>
        <v/>
      </c>
      <c r="AS39" s="661" t="str">
        <f t="shared" si="7"/>
        <v>入力済</v>
      </c>
      <c r="AT39" s="661" t="str">
        <f t="shared" si="8"/>
        <v/>
      </c>
      <c r="AU39" s="661" t="str">
        <f t="shared" si="9"/>
        <v/>
      </c>
      <c r="AV39" s="656" t="str">
        <f t="shared" si="10"/>
        <v/>
      </c>
      <c r="AW39" s="656" t="str">
        <f t="shared" si="11"/>
        <v>入力済</v>
      </c>
      <c r="AX39" s="661" t="str">
        <f>IFERROR(VLOOKUP(K39,'【参考】数式用'!$AR$3:$AS$49,2,FALSE),"")</f>
        <v/>
      </c>
      <c r="AY39" s="656" t="str">
        <f t="shared" si="12"/>
        <v/>
      </c>
      <c r="AZ39" s="656" t="str">
        <f t="shared" si="19"/>
        <v>入力済</v>
      </c>
      <c r="BA39" s="661" t="str">
        <f>IFERROR(VLOOKUP(K39,'【参考】数式用'!$AX$3:$AY$56,2,FALSE),"")</f>
        <v/>
      </c>
      <c r="BB39" s="656" t="str">
        <f t="shared" si="14"/>
        <v/>
      </c>
      <c r="BC39" s="672" t="str">
        <f t="shared" si="15"/>
        <v>入力済</v>
      </c>
      <c r="BD39" s="656" t="str">
        <f t="shared" si="16"/>
        <v/>
      </c>
      <c r="BE39" s="656" t="str">
        <f t="shared" si="17"/>
        <v/>
      </c>
      <c r="BH39" s="680" t="e">
        <f>VLOOKUP(K39,'【参考】数式用'!$A$2:$O$57,15,FALSE)</f>
        <v>#N/A</v>
      </c>
    </row>
    <row r="40" spans="1:67"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IF(基本情報入力シート!AG68="","",基本情報入力シート!AG68)</f>
        <v/>
      </c>
      <c r="N40" s="569"/>
      <c r="O40" s="574" t="str">
        <f>IFERROR(VLOOKUP(K40,'【参考】数式用'!$A$2:$F$57,MATCH(N40,'【参考】数式用'!$C$3:$F$3,0)+2,0),"")</f>
        <v/>
      </c>
      <c r="P40" s="581" t="s">
        <v>543</v>
      </c>
      <c r="Q40" s="586"/>
      <c r="R40" s="588" t="s">
        <v>75</v>
      </c>
      <c r="S40" s="586"/>
      <c r="T40" s="588" t="s">
        <v>159</v>
      </c>
      <c r="U40" s="586"/>
      <c r="V40" s="588" t="s">
        <v>75</v>
      </c>
      <c r="W40" s="586"/>
      <c r="X40" s="588" t="s">
        <v>722</v>
      </c>
      <c r="Y40" s="588" t="s">
        <v>161</v>
      </c>
      <c r="Z40" s="588" t="str">
        <f t="shared" si="0"/>
        <v/>
      </c>
      <c r="AA40" s="592" t="s">
        <v>6</v>
      </c>
      <c r="AB40" s="597" t="str">
        <f t="shared" si="1"/>
        <v/>
      </c>
      <c r="AC40" s="602" t="str">
        <f>IFERROR(ROUNDDOWN(ROUNDDOWN(ROUND(L40*VLOOKUP(K40,'【参考】数式用'!$A$4:$F$57,MATCH("処遇改善加算Ⅳ",'【参考】数式用'!$C$3:$F$3,0)+2,0),0)*M40,0)*Z40*0.5,0),"")</f>
        <v/>
      </c>
      <c r="AD40" s="608"/>
      <c r="AE40" s="616"/>
      <c r="AF40" s="616"/>
      <c r="AG40" s="622"/>
      <c r="AH40" s="625"/>
      <c r="AI40" s="632"/>
      <c r="AJ40" s="632"/>
      <c r="AK40" s="647" t="str">
        <f t="shared" si="2"/>
        <v/>
      </c>
      <c r="AL40" s="650" t="str">
        <f t="shared" si="18"/>
        <v/>
      </c>
      <c r="AM40" s="653"/>
      <c r="AN40" s="656" t="str">
        <f>IFERROR(VLOOKUP(K40,'【参考】数式用'!$A$2:$N$57,14,FALSE),"")</f>
        <v/>
      </c>
      <c r="AO40" s="656" t="str">
        <f t="shared" si="3"/>
        <v/>
      </c>
      <c r="AP40" s="661" t="str">
        <f t="shared" si="4"/>
        <v/>
      </c>
      <c r="AQ40" s="661" t="str">
        <f t="shared" si="5"/>
        <v>入力済</v>
      </c>
      <c r="AR40" s="656" t="str">
        <f t="shared" si="6"/>
        <v/>
      </c>
      <c r="AS40" s="661" t="str">
        <f t="shared" si="7"/>
        <v>入力済</v>
      </c>
      <c r="AT40" s="661" t="str">
        <f t="shared" si="8"/>
        <v/>
      </c>
      <c r="AU40" s="661" t="str">
        <f t="shared" si="9"/>
        <v/>
      </c>
      <c r="AV40" s="656" t="str">
        <f t="shared" si="10"/>
        <v/>
      </c>
      <c r="AW40" s="656" t="str">
        <f t="shared" si="11"/>
        <v>入力済</v>
      </c>
      <c r="AX40" s="661" t="str">
        <f>IFERROR(VLOOKUP(K40,'【参考】数式用'!$AR$3:$AS$49,2,FALSE),"")</f>
        <v/>
      </c>
      <c r="AY40" s="656" t="str">
        <f t="shared" si="12"/>
        <v/>
      </c>
      <c r="AZ40" s="656" t="str">
        <f t="shared" si="19"/>
        <v>入力済</v>
      </c>
      <c r="BA40" s="661" t="str">
        <f>IFERROR(VLOOKUP(K40,'【参考】数式用'!$AX$3:$AY$56,2,FALSE),"")</f>
        <v/>
      </c>
      <c r="BB40" s="656" t="str">
        <f t="shared" si="14"/>
        <v/>
      </c>
      <c r="BC40" s="672" t="str">
        <f t="shared" si="15"/>
        <v>入力済</v>
      </c>
      <c r="BD40" s="656" t="str">
        <f t="shared" si="16"/>
        <v/>
      </c>
      <c r="BE40" s="656" t="str">
        <f t="shared" si="17"/>
        <v/>
      </c>
      <c r="BH40" s="680" t="e">
        <f>VLOOKUP(K40,'【参考】数式用'!$A$2:$O$57,15,FALSE)</f>
        <v>#N/A</v>
      </c>
    </row>
    <row r="41" spans="1:67" s="494" customFormat="1"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IF(基本情報入力シート!AG69="","",基本情報入力シート!AG69)</f>
        <v/>
      </c>
      <c r="N41" s="569"/>
      <c r="O41" s="574" t="str">
        <f>IFERROR(VLOOKUP(K41,'【参考】数式用'!$A$2:$F$57,MATCH(N41,'【参考】数式用'!$C$3:$F$3,0)+2,0),"")</f>
        <v/>
      </c>
      <c r="P41" s="581" t="s">
        <v>543</v>
      </c>
      <c r="Q41" s="586"/>
      <c r="R41" s="588" t="s">
        <v>75</v>
      </c>
      <c r="S41" s="586"/>
      <c r="T41" s="588" t="s">
        <v>159</v>
      </c>
      <c r="U41" s="586"/>
      <c r="V41" s="588" t="s">
        <v>75</v>
      </c>
      <c r="W41" s="586"/>
      <c r="X41" s="588" t="s">
        <v>722</v>
      </c>
      <c r="Y41" s="588" t="s">
        <v>161</v>
      </c>
      <c r="Z41" s="588" t="str">
        <f t="shared" si="0"/>
        <v/>
      </c>
      <c r="AA41" s="592" t="s">
        <v>6</v>
      </c>
      <c r="AB41" s="597" t="str">
        <f t="shared" si="1"/>
        <v/>
      </c>
      <c r="AC41" s="602" t="str">
        <f>IFERROR(ROUNDDOWN(ROUNDDOWN(ROUND(L41*VLOOKUP(K41,'【参考】数式用'!$A$4:$F$57,MATCH("処遇改善加算Ⅳ",'【参考】数式用'!$C$3:$F$3,0)+2,0),0)*M41,0)*Z41*0.5,0),"")</f>
        <v/>
      </c>
      <c r="AD41" s="608"/>
      <c r="AE41" s="616"/>
      <c r="AF41" s="616"/>
      <c r="AG41" s="622"/>
      <c r="AH41" s="625"/>
      <c r="AI41" s="632"/>
      <c r="AJ41" s="632"/>
      <c r="AK41" s="647" t="str">
        <f t="shared" si="2"/>
        <v/>
      </c>
      <c r="AL41" s="650" t="str">
        <f t="shared" si="18"/>
        <v/>
      </c>
      <c r="AM41" s="653"/>
      <c r="AN41" s="656" t="str">
        <f>IFERROR(VLOOKUP(K41,'【参考】数式用'!$A$2:$N$57,14,FALSE),"")</f>
        <v/>
      </c>
      <c r="AO41" s="656" t="str">
        <f t="shared" si="3"/>
        <v/>
      </c>
      <c r="AP41" s="661" t="str">
        <f t="shared" si="4"/>
        <v/>
      </c>
      <c r="AQ41" s="661" t="str">
        <f t="shared" si="5"/>
        <v>入力済</v>
      </c>
      <c r="AR41" s="656" t="str">
        <f t="shared" si="6"/>
        <v/>
      </c>
      <c r="AS41" s="661" t="str">
        <f t="shared" si="7"/>
        <v>入力済</v>
      </c>
      <c r="AT41" s="661" t="str">
        <f t="shared" si="8"/>
        <v/>
      </c>
      <c r="AU41" s="661" t="str">
        <f t="shared" si="9"/>
        <v/>
      </c>
      <c r="AV41" s="656" t="str">
        <f t="shared" si="10"/>
        <v/>
      </c>
      <c r="AW41" s="656" t="str">
        <f t="shared" si="11"/>
        <v>入力済</v>
      </c>
      <c r="AX41" s="661" t="str">
        <f>IFERROR(VLOOKUP(K41,'【参考】数式用'!$AR$3:$AS$49,2,FALSE),"")</f>
        <v/>
      </c>
      <c r="AY41" s="656" t="str">
        <f t="shared" si="12"/>
        <v/>
      </c>
      <c r="AZ41" s="656" t="str">
        <f t="shared" si="19"/>
        <v>入力済</v>
      </c>
      <c r="BA41" s="661" t="str">
        <f>IFERROR(VLOOKUP(K41,'【参考】数式用'!$AX$3:$AY$56,2,FALSE),"")</f>
        <v/>
      </c>
      <c r="BB41" s="656" t="str">
        <f t="shared" si="14"/>
        <v/>
      </c>
      <c r="BC41" s="672" t="str">
        <f t="shared" si="15"/>
        <v>入力済</v>
      </c>
      <c r="BD41" s="656" t="str">
        <f t="shared" si="16"/>
        <v/>
      </c>
      <c r="BE41" s="656" t="str">
        <f t="shared" si="17"/>
        <v/>
      </c>
      <c r="BF41" s="658"/>
      <c r="BG41" s="658"/>
      <c r="BH41" s="680" t="e">
        <f>VLOOKUP(K41,'【参考】数式用'!$A$2:$O$57,15,FALSE)</f>
        <v>#N/A</v>
      </c>
      <c r="BI41" s="658"/>
      <c r="BJ41" s="658"/>
      <c r="BK41" s="658"/>
      <c r="BL41" s="658"/>
      <c r="BM41" s="658"/>
      <c r="BN41" s="658"/>
      <c r="BO41" s="675"/>
    </row>
    <row r="42" spans="1:67" s="494" customFormat="1"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IF(基本情報入力シート!AG70="","",基本情報入力シート!AG70)</f>
        <v/>
      </c>
      <c r="N42" s="569"/>
      <c r="O42" s="574" t="str">
        <f>IFERROR(VLOOKUP(K42,'【参考】数式用'!$A$2:$F$57,MATCH(N42,'【参考】数式用'!$C$3:$F$3,0)+2,0),"")</f>
        <v/>
      </c>
      <c r="P42" s="581" t="s">
        <v>543</v>
      </c>
      <c r="Q42" s="586"/>
      <c r="R42" s="588" t="s">
        <v>75</v>
      </c>
      <c r="S42" s="586"/>
      <c r="T42" s="588" t="s">
        <v>159</v>
      </c>
      <c r="U42" s="586"/>
      <c r="V42" s="588" t="s">
        <v>75</v>
      </c>
      <c r="W42" s="586"/>
      <c r="X42" s="588" t="s">
        <v>722</v>
      </c>
      <c r="Y42" s="588" t="s">
        <v>161</v>
      </c>
      <c r="Z42" s="588" t="str">
        <f t="shared" si="0"/>
        <v/>
      </c>
      <c r="AA42" s="592" t="s">
        <v>6</v>
      </c>
      <c r="AB42" s="597" t="str">
        <f t="shared" si="1"/>
        <v/>
      </c>
      <c r="AC42" s="602" t="str">
        <f>IFERROR(ROUNDDOWN(ROUNDDOWN(ROUND(L42*VLOOKUP(K42,'【参考】数式用'!$A$4:$F$57,MATCH("処遇改善加算Ⅳ",'【参考】数式用'!$C$3:$F$3,0)+2,0),0)*M42,0)*Z42*0.5,0),"")</f>
        <v/>
      </c>
      <c r="AD42" s="608"/>
      <c r="AE42" s="616"/>
      <c r="AF42" s="616"/>
      <c r="AG42" s="622"/>
      <c r="AH42" s="625"/>
      <c r="AI42" s="632"/>
      <c r="AJ42" s="632"/>
      <c r="AK42" s="647" t="str">
        <f t="shared" si="2"/>
        <v/>
      </c>
      <c r="AL42" s="650" t="str">
        <f t="shared" si="18"/>
        <v/>
      </c>
      <c r="AM42" s="653"/>
      <c r="AN42" s="656" t="str">
        <f>IFERROR(VLOOKUP(K42,'【参考】数式用'!$A$2:$N$57,14,FALSE),"")</f>
        <v/>
      </c>
      <c r="AO42" s="656" t="str">
        <f t="shared" si="3"/>
        <v/>
      </c>
      <c r="AP42" s="661" t="str">
        <f t="shared" si="4"/>
        <v/>
      </c>
      <c r="AQ42" s="661" t="str">
        <f t="shared" si="5"/>
        <v>入力済</v>
      </c>
      <c r="AR42" s="656" t="str">
        <f t="shared" si="6"/>
        <v/>
      </c>
      <c r="AS42" s="661" t="str">
        <f t="shared" si="7"/>
        <v>入力済</v>
      </c>
      <c r="AT42" s="661" t="str">
        <f t="shared" si="8"/>
        <v/>
      </c>
      <c r="AU42" s="661" t="str">
        <f t="shared" si="9"/>
        <v/>
      </c>
      <c r="AV42" s="656" t="str">
        <f t="shared" si="10"/>
        <v/>
      </c>
      <c r="AW42" s="656" t="str">
        <f t="shared" si="11"/>
        <v>入力済</v>
      </c>
      <c r="AX42" s="661" t="str">
        <f>IFERROR(VLOOKUP(K42,'【参考】数式用'!$AR$3:$AS$49,2,FALSE),"")</f>
        <v/>
      </c>
      <c r="AY42" s="656" t="str">
        <f t="shared" si="12"/>
        <v/>
      </c>
      <c r="AZ42" s="656" t="str">
        <f t="shared" si="19"/>
        <v>入力済</v>
      </c>
      <c r="BA42" s="661" t="str">
        <f>IFERROR(VLOOKUP(K42,'【参考】数式用'!$AX$3:$AY$56,2,FALSE),"")</f>
        <v/>
      </c>
      <c r="BB42" s="656" t="str">
        <f t="shared" si="14"/>
        <v/>
      </c>
      <c r="BC42" s="672" t="str">
        <f t="shared" si="15"/>
        <v>入力済</v>
      </c>
      <c r="BD42" s="656" t="str">
        <f t="shared" si="16"/>
        <v/>
      </c>
      <c r="BE42" s="656" t="str">
        <f t="shared" si="17"/>
        <v/>
      </c>
      <c r="BF42" s="658"/>
      <c r="BG42" s="658"/>
      <c r="BH42" s="680" t="e">
        <f>VLOOKUP(K42,'【参考】数式用'!$A$2:$O$57,15,FALSE)</f>
        <v>#N/A</v>
      </c>
      <c r="BI42" s="658"/>
      <c r="BJ42" s="658"/>
      <c r="BK42" s="658"/>
      <c r="BL42" s="658"/>
      <c r="BM42" s="658"/>
      <c r="BN42" s="658"/>
      <c r="BO42" s="675"/>
    </row>
    <row r="43" spans="1:67" s="494" customFormat="1"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IF(基本情報入力シート!AG71="","",基本情報入力シート!AG71)</f>
        <v/>
      </c>
      <c r="N43" s="569"/>
      <c r="O43" s="574" t="str">
        <f>IFERROR(VLOOKUP(K43,'【参考】数式用'!$A$2:$F$57,MATCH(N43,'【参考】数式用'!$C$3:$F$3,0)+2,0),"")</f>
        <v/>
      </c>
      <c r="P43" s="581" t="s">
        <v>543</v>
      </c>
      <c r="Q43" s="586"/>
      <c r="R43" s="588" t="s">
        <v>75</v>
      </c>
      <c r="S43" s="586"/>
      <c r="T43" s="588" t="s">
        <v>159</v>
      </c>
      <c r="U43" s="586"/>
      <c r="V43" s="588" t="s">
        <v>75</v>
      </c>
      <c r="W43" s="586"/>
      <c r="X43" s="588" t="s">
        <v>10</v>
      </c>
      <c r="Y43" s="588" t="s">
        <v>161</v>
      </c>
      <c r="Z43" s="588" t="str">
        <f t="shared" si="0"/>
        <v/>
      </c>
      <c r="AA43" s="592" t="s">
        <v>6</v>
      </c>
      <c r="AB43" s="597" t="str">
        <f t="shared" si="1"/>
        <v/>
      </c>
      <c r="AC43" s="602" t="str">
        <f>IFERROR(ROUNDDOWN(ROUNDDOWN(ROUND(L43*VLOOKUP(K43,'【参考】数式用'!$A$4:$F$57,MATCH("処遇改善加算Ⅳ",'【参考】数式用'!$C$3:$F$3,0)+2,0),0)*M43,0)*Z43*0.5,0),"")</f>
        <v/>
      </c>
      <c r="AD43" s="608"/>
      <c r="AE43" s="616"/>
      <c r="AF43" s="616"/>
      <c r="AG43" s="622"/>
      <c r="AH43" s="625"/>
      <c r="AI43" s="632"/>
      <c r="AJ43" s="632"/>
      <c r="AK43" s="647" t="str">
        <f t="shared" si="2"/>
        <v/>
      </c>
      <c r="AL43" s="650" t="str">
        <f t="shared" si="18"/>
        <v/>
      </c>
      <c r="AM43" s="653"/>
      <c r="AN43" s="656" t="str">
        <f>IFERROR(VLOOKUP(K43,'【参考】数式用'!$A$2:$N$57,14,FALSE),"")</f>
        <v/>
      </c>
      <c r="AO43" s="656" t="str">
        <f t="shared" si="3"/>
        <v/>
      </c>
      <c r="AP43" s="661" t="str">
        <f t="shared" si="4"/>
        <v/>
      </c>
      <c r="AQ43" s="661" t="str">
        <f t="shared" si="5"/>
        <v>入力済</v>
      </c>
      <c r="AR43" s="656" t="str">
        <f t="shared" si="6"/>
        <v/>
      </c>
      <c r="AS43" s="661" t="str">
        <f t="shared" si="7"/>
        <v>入力済</v>
      </c>
      <c r="AT43" s="661" t="str">
        <f t="shared" si="8"/>
        <v/>
      </c>
      <c r="AU43" s="661" t="str">
        <f t="shared" si="9"/>
        <v/>
      </c>
      <c r="AV43" s="656" t="str">
        <f t="shared" si="10"/>
        <v/>
      </c>
      <c r="AW43" s="656" t="str">
        <f t="shared" si="11"/>
        <v>入力済</v>
      </c>
      <c r="AX43" s="661" t="str">
        <f>IFERROR(VLOOKUP(K43,'【参考】数式用'!$AR$3:$AS$49,2,FALSE),"")</f>
        <v/>
      </c>
      <c r="AY43" s="656" t="str">
        <f t="shared" si="12"/>
        <v/>
      </c>
      <c r="AZ43" s="656" t="str">
        <f t="shared" si="19"/>
        <v>入力済</v>
      </c>
      <c r="BA43" s="661" t="str">
        <f>IFERROR(VLOOKUP(K43,'【参考】数式用'!$AX$3:$AY$56,2,FALSE),"")</f>
        <v/>
      </c>
      <c r="BB43" s="656" t="str">
        <f t="shared" si="14"/>
        <v/>
      </c>
      <c r="BC43" s="672" t="str">
        <f t="shared" si="15"/>
        <v>入力済</v>
      </c>
      <c r="BD43" s="656" t="str">
        <f t="shared" si="16"/>
        <v/>
      </c>
      <c r="BE43" s="656" t="str">
        <f t="shared" si="17"/>
        <v/>
      </c>
      <c r="BF43" s="658"/>
      <c r="BG43" s="658"/>
      <c r="BH43" s="680" t="e">
        <f>VLOOKUP(K43,'【参考】数式用'!$A$2:$O$57,15,FALSE)</f>
        <v>#N/A</v>
      </c>
      <c r="BI43" s="658"/>
      <c r="BJ43" s="658"/>
      <c r="BK43" s="658"/>
      <c r="BL43" s="658"/>
      <c r="BM43" s="658"/>
      <c r="BN43" s="658"/>
      <c r="BO43" s="675"/>
    </row>
    <row r="44" spans="1:67" s="494" customFormat="1"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IF(基本情報入力シート!AG72="","",基本情報入力シート!AG72)</f>
        <v/>
      </c>
      <c r="N44" s="569"/>
      <c r="O44" s="574" t="str">
        <f>IFERROR(VLOOKUP(K44,'【参考】数式用'!$A$2:$F$57,MATCH(N44,'【参考】数式用'!$C$3:$F$3,0)+2,0),"")</f>
        <v/>
      </c>
      <c r="P44" s="581" t="s">
        <v>543</v>
      </c>
      <c r="Q44" s="586"/>
      <c r="R44" s="588" t="s">
        <v>75</v>
      </c>
      <c r="S44" s="586"/>
      <c r="T44" s="588" t="s">
        <v>159</v>
      </c>
      <c r="U44" s="586"/>
      <c r="V44" s="588" t="s">
        <v>75</v>
      </c>
      <c r="W44" s="586"/>
      <c r="X44" s="588" t="s">
        <v>10</v>
      </c>
      <c r="Y44" s="588" t="s">
        <v>161</v>
      </c>
      <c r="Z44" s="588" t="str">
        <f t="shared" si="0"/>
        <v/>
      </c>
      <c r="AA44" s="592" t="s">
        <v>6</v>
      </c>
      <c r="AB44" s="597" t="str">
        <f t="shared" si="1"/>
        <v/>
      </c>
      <c r="AC44" s="602" t="str">
        <f>IFERROR(ROUNDDOWN(ROUNDDOWN(ROUND(L44*VLOOKUP(K44,'【参考】数式用'!$A$4:$F$57,MATCH("処遇改善加算Ⅳ",'【参考】数式用'!$C$3:$F$3,0)+2,0),0)*M44,0)*Z44*0.5,0),"")</f>
        <v/>
      </c>
      <c r="AD44" s="608"/>
      <c r="AE44" s="616"/>
      <c r="AF44" s="616"/>
      <c r="AG44" s="622"/>
      <c r="AH44" s="625"/>
      <c r="AI44" s="632"/>
      <c r="AJ44" s="632"/>
      <c r="AK44" s="647" t="str">
        <f t="shared" si="2"/>
        <v/>
      </c>
      <c r="AL44" s="650" t="str">
        <f t="shared" si="18"/>
        <v/>
      </c>
      <c r="AM44" s="653"/>
      <c r="AN44" s="656" t="str">
        <f>IFERROR(VLOOKUP(K44,'【参考】数式用'!$A$2:$N$57,14,FALSE),"")</f>
        <v/>
      </c>
      <c r="AO44" s="656" t="str">
        <f t="shared" si="3"/>
        <v/>
      </c>
      <c r="AP44" s="661" t="str">
        <f t="shared" si="4"/>
        <v/>
      </c>
      <c r="AQ44" s="661" t="str">
        <f t="shared" si="5"/>
        <v>入力済</v>
      </c>
      <c r="AR44" s="656" t="str">
        <f t="shared" si="6"/>
        <v/>
      </c>
      <c r="AS44" s="661" t="str">
        <f t="shared" si="7"/>
        <v>入力済</v>
      </c>
      <c r="AT44" s="661" t="str">
        <f t="shared" si="8"/>
        <v/>
      </c>
      <c r="AU44" s="661" t="str">
        <f t="shared" si="9"/>
        <v/>
      </c>
      <c r="AV44" s="656" t="str">
        <f t="shared" si="10"/>
        <v/>
      </c>
      <c r="AW44" s="656" t="str">
        <f t="shared" si="11"/>
        <v>入力済</v>
      </c>
      <c r="AX44" s="661" t="str">
        <f>IFERROR(VLOOKUP(K44,'【参考】数式用'!$AR$3:$AS$49,2,FALSE),"")</f>
        <v/>
      </c>
      <c r="AY44" s="656" t="str">
        <f t="shared" si="12"/>
        <v/>
      </c>
      <c r="AZ44" s="656" t="str">
        <f t="shared" si="19"/>
        <v>入力済</v>
      </c>
      <c r="BA44" s="661" t="str">
        <f>IFERROR(VLOOKUP(K44,'【参考】数式用'!$AX$3:$AY$56,2,FALSE),"")</f>
        <v/>
      </c>
      <c r="BB44" s="656" t="str">
        <f t="shared" si="14"/>
        <v/>
      </c>
      <c r="BC44" s="672" t="str">
        <f t="shared" si="15"/>
        <v>入力済</v>
      </c>
      <c r="BD44" s="656" t="str">
        <f t="shared" si="16"/>
        <v/>
      </c>
      <c r="BE44" s="656" t="str">
        <f t="shared" si="17"/>
        <v/>
      </c>
      <c r="BF44" s="658"/>
      <c r="BG44" s="658"/>
      <c r="BH44" s="680" t="e">
        <f>VLOOKUP(K44,'【参考】数式用'!$A$2:$O$57,15,FALSE)</f>
        <v>#N/A</v>
      </c>
      <c r="BI44" s="658"/>
      <c r="BJ44" s="658"/>
      <c r="BK44" s="658"/>
      <c r="BL44" s="658"/>
      <c r="BM44" s="658"/>
      <c r="BN44" s="658"/>
      <c r="BO44" s="675"/>
    </row>
    <row r="45" spans="1:67" s="494" customFormat="1"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IF(基本情報入力シート!AG73="","",基本情報入力シート!AG73)</f>
        <v/>
      </c>
      <c r="N45" s="569"/>
      <c r="O45" s="574" t="str">
        <f>IFERROR(VLOOKUP(K45,'【参考】数式用'!$A$2:$F$57,MATCH(N45,'【参考】数式用'!$C$3:$F$3,0)+2,0),"")</f>
        <v/>
      </c>
      <c r="P45" s="581" t="s">
        <v>543</v>
      </c>
      <c r="Q45" s="586"/>
      <c r="R45" s="588" t="s">
        <v>75</v>
      </c>
      <c r="S45" s="586"/>
      <c r="T45" s="588" t="s">
        <v>159</v>
      </c>
      <c r="U45" s="586"/>
      <c r="V45" s="588" t="s">
        <v>75</v>
      </c>
      <c r="W45" s="586"/>
      <c r="X45" s="588" t="s">
        <v>722</v>
      </c>
      <c r="Y45" s="588" t="s">
        <v>161</v>
      </c>
      <c r="Z45" s="588" t="str">
        <f t="shared" si="0"/>
        <v/>
      </c>
      <c r="AA45" s="592" t="s">
        <v>6</v>
      </c>
      <c r="AB45" s="597" t="str">
        <f t="shared" si="1"/>
        <v/>
      </c>
      <c r="AC45" s="602" t="str">
        <f>IFERROR(ROUNDDOWN(ROUNDDOWN(ROUND(L45*VLOOKUP(K45,'【参考】数式用'!$A$4:$F$57,MATCH("処遇改善加算Ⅳ",'【参考】数式用'!$C$3:$F$3,0)+2,0),0)*M45,0)*Z45*0.5,0),"")</f>
        <v/>
      </c>
      <c r="AD45" s="608"/>
      <c r="AE45" s="616"/>
      <c r="AF45" s="616"/>
      <c r="AG45" s="622"/>
      <c r="AH45" s="625"/>
      <c r="AI45" s="632"/>
      <c r="AJ45" s="632"/>
      <c r="AK45" s="647" t="str">
        <f t="shared" si="2"/>
        <v/>
      </c>
      <c r="AL45" s="650" t="str">
        <f t="shared" si="18"/>
        <v/>
      </c>
      <c r="AM45" s="653"/>
      <c r="AN45" s="656" t="str">
        <f>IFERROR(VLOOKUP(K45,'【参考】数式用'!$A$2:$N$57,14,FALSE),"")</f>
        <v/>
      </c>
      <c r="AO45" s="656" t="str">
        <f t="shared" si="3"/>
        <v/>
      </c>
      <c r="AP45" s="661" t="str">
        <f t="shared" si="4"/>
        <v/>
      </c>
      <c r="AQ45" s="661" t="str">
        <f t="shared" si="5"/>
        <v>入力済</v>
      </c>
      <c r="AR45" s="656" t="str">
        <f t="shared" si="6"/>
        <v/>
      </c>
      <c r="AS45" s="661" t="str">
        <f t="shared" si="7"/>
        <v>入力済</v>
      </c>
      <c r="AT45" s="661" t="str">
        <f t="shared" si="8"/>
        <v/>
      </c>
      <c r="AU45" s="661" t="str">
        <f t="shared" si="9"/>
        <v/>
      </c>
      <c r="AV45" s="656" t="str">
        <f t="shared" si="10"/>
        <v/>
      </c>
      <c r="AW45" s="656" t="str">
        <f t="shared" si="11"/>
        <v>入力済</v>
      </c>
      <c r="AX45" s="661" t="str">
        <f>IFERROR(VLOOKUP(K45,'【参考】数式用'!$AR$3:$AS$49,2,FALSE),"")</f>
        <v/>
      </c>
      <c r="AY45" s="656" t="str">
        <f t="shared" si="12"/>
        <v/>
      </c>
      <c r="AZ45" s="656" t="str">
        <f t="shared" si="19"/>
        <v>入力済</v>
      </c>
      <c r="BA45" s="661" t="str">
        <f>IFERROR(VLOOKUP(K45,'【参考】数式用'!$AX$3:$AY$56,2,FALSE),"")</f>
        <v/>
      </c>
      <c r="BB45" s="656" t="str">
        <f t="shared" si="14"/>
        <v/>
      </c>
      <c r="BC45" s="672" t="str">
        <f t="shared" si="15"/>
        <v>入力済</v>
      </c>
      <c r="BD45" s="656" t="str">
        <f t="shared" si="16"/>
        <v/>
      </c>
      <c r="BE45" s="656" t="str">
        <f t="shared" si="17"/>
        <v/>
      </c>
      <c r="BF45" s="658"/>
      <c r="BG45" s="658"/>
      <c r="BH45" s="680" t="e">
        <f>VLOOKUP(K45,'【参考】数式用'!$A$2:$O$57,15,FALSE)</f>
        <v>#N/A</v>
      </c>
      <c r="BI45" s="658"/>
      <c r="BJ45" s="658"/>
      <c r="BK45" s="658"/>
      <c r="BL45" s="658"/>
      <c r="BM45" s="658"/>
      <c r="BN45" s="658"/>
      <c r="BO45" s="675"/>
    </row>
    <row r="46" spans="1:67" s="494" customFormat="1"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IF(基本情報入力シート!AG74="","",基本情報入力シート!AG74)</f>
        <v/>
      </c>
      <c r="N46" s="569"/>
      <c r="O46" s="574" t="str">
        <f>IFERROR(VLOOKUP(K46,'【参考】数式用'!$A$2:$F$57,MATCH(N46,'【参考】数式用'!$C$3:$F$3,0)+2,0),"")</f>
        <v/>
      </c>
      <c r="P46" s="581" t="s">
        <v>543</v>
      </c>
      <c r="Q46" s="586"/>
      <c r="R46" s="588" t="s">
        <v>75</v>
      </c>
      <c r="S46" s="586"/>
      <c r="T46" s="588" t="s">
        <v>159</v>
      </c>
      <c r="U46" s="586"/>
      <c r="V46" s="588" t="s">
        <v>75</v>
      </c>
      <c r="W46" s="586"/>
      <c r="X46" s="588" t="s">
        <v>722</v>
      </c>
      <c r="Y46" s="588" t="s">
        <v>161</v>
      </c>
      <c r="Z46" s="588" t="str">
        <f t="shared" si="0"/>
        <v/>
      </c>
      <c r="AA46" s="592" t="s">
        <v>6</v>
      </c>
      <c r="AB46" s="597" t="str">
        <f t="shared" si="1"/>
        <v/>
      </c>
      <c r="AC46" s="602" t="str">
        <f>IFERROR(ROUNDDOWN(ROUNDDOWN(ROUND(L46*VLOOKUP(K46,'【参考】数式用'!$A$4:$F$57,MATCH("処遇改善加算Ⅳ",'【参考】数式用'!$C$3:$F$3,0)+2,0),0)*M46,0)*Z46*0.5,0),"")</f>
        <v/>
      </c>
      <c r="AD46" s="608"/>
      <c r="AE46" s="616"/>
      <c r="AF46" s="616"/>
      <c r="AG46" s="622"/>
      <c r="AH46" s="625"/>
      <c r="AI46" s="632"/>
      <c r="AJ46" s="632"/>
      <c r="AK46" s="647" t="str">
        <f t="shared" si="2"/>
        <v/>
      </c>
      <c r="AL46" s="650" t="str">
        <f t="shared" si="18"/>
        <v/>
      </c>
      <c r="AM46" s="653"/>
      <c r="AN46" s="656" t="str">
        <f>IFERROR(VLOOKUP(K46,'【参考】数式用'!$A$2:$N$57,14,FALSE),"")</f>
        <v/>
      </c>
      <c r="AO46" s="656" t="str">
        <f t="shared" si="3"/>
        <v/>
      </c>
      <c r="AP46" s="661" t="str">
        <f t="shared" si="4"/>
        <v/>
      </c>
      <c r="AQ46" s="661" t="str">
        <f t="shared" si="5"/>
        <v>入力済</v>
      </c>
      <c r="AR46" s="656" t="str">
        <f t="shared" si="6"/>
        <v/>
      </c>
      <c r="AS46" s="661" t="str">
        <f t="shared" si="7"/>
        <v>入力済</v>
      </c>
      <c r="AT46" s="661" t="str">
        <f t="shared" si="8"/>
        <v/>
      </c>
      <c r="AU46" s="661" t="str">
        <f t="shared" si="9"/>
        <v/>
      </c>
      <c r="AV46" s="656" t="str">
        <f t="shared" si="10"/>
        <v/>
      </c>
      <c r="AW46" s="656" t="str">
        <f t="shared" si="11"/>
        <v>入力済</v>
      </c>
      <c r="AX46" s="661" t="str">
        <f>IFERROR(VLOOKUP(K46,'【参考】数式用'!$AR$3:$AS$49,2,FALSE),"")</f>
        <v/>
      </c>
      <c r="AY46" s="656" t="str">
        <f t="shared" si="12"/>
        <v/>
      </c>
      <c r="AZ46" s="656" t="str">
        <f t="shared" si="19"/>
        <v>入力済</v>
      </c>
      <c r="BA46" s="661" t="str">
        <f>IFERROR(VLOOKUP(K46,'【参考】数式用'!$AX$3:$AY$56,2,FALSE),"")</f>
        <v/>
      </c>
      <c r="BB46" s="656" t="str">
        <f t="shared" si="14"/>
        <v/>
      </c>
      <c r="BC46" s="672" t="str">
        <f t="shared" si="15"/>
        <v>入力済</v>
      </c>
      <c r="BD46" s="656" t="str">
        <f t="shared" si="16"/>
        <v/>
      </c>
      <c r="BE46" s="656" t="str">
        <f t="shared" si="17"/>
        <v/>
      </c>
      <c r="BF46" s="658"/>
      <c r="BG46" s="658"/>
      <c r="BH46" s="680" t="e">
        <f>VLOOKUP(K46,'【参考】数式用'!$A$2:$O$57,15,FALSE)</f>
        <v>#N/A</v>
      </c>
      <c r="BI46" s="658"/>
      <c r="BJ46" s="658"/>
      <c r="BK46" s="658"/>
      <c r="BL46" s="658"/>
      <c r="BM46" s="658"/>
      <c r="BN46" s="658"/>
      <c r="BO46" s="675"/>
    </row>
    <row r="47" spans="1:67" s="494" customFormat="1"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IF(基本情報入力シート!AG75="","",基本情報入力シート!AG75)</f>
        <v/>
      </c>
      <c r="N47" s="569"/>
      <c r="O47" s="574" t="str">
        <f>IFERROR(VLOOKUP(K47,'【参考】数式用'!$A$2:$F$57,MATCH(N47,'【参考】数式用'!$C$3:$F$3,0)+2,0),"")</f>
        <v/>
      </c>
      <c r="P47" s="581" t="s">
        <v>543</v>
      </c>
      <c r="Q47" s="586"/>
      <c r="R47" s="588" t="s">
        <v>75</v>
      </c>
      <c r="S47" s="586"/>
      <c r="T47" s="588" t="s">
        <v>159</v>
      </c>
      <c r="U47" s="586"/>
      <c r="V47" s="588" t="s">
        <v>75</v>
      </c>
      <c r="W47" s="586"/>
      <c r="X47" s="588" t="s">
        <v>722</v>
      </c>
      <c r="Y47" s="588" t="s">
        <v>161</v>
      </c>
      <c r="Z47" s="588" t="str">
        <f t="shared" si="0"/>
        <v/>
      </c>
      <c r="AA47" s="592" t="s">
        <v>6</v>
      </c>
      <c r="AB47" s="597" t="str">
        <f t="shared" si="1"/>
        <v/>
      </c>
      <c r="AC47" s="602" t="str">
        <f>IFERROR(ROUNDDOWN(ROUNDDOWN(ROUND(L47*VLOOKUP(K47,'【参考】数式用'!$A$4:$F$57,MATCH("処遇改善加算Ⅳ",'【参考】数式用'!$C$3:$F$3,0)+2,0),0)*M47,0)*Z47*0.5,0),"")</f>
        <v/>
      </c>
      <c r="AD47" s="608"/>
      <c r="AE47" s="616"/>
      <c r="AF47" s="616"/>
      <c r="AG47" s="622"/>
      <c r="AH47" s="625"/>
      <c r="AI47" s="632"/>
      <c r="AJ47" s="632"/>
      <c r="AK47" s="647" t="str">
        <f t="shared" si="2"/>
        <v/>
      </c>
      <c r="AL47" s="650" t="str">
        <f t="shared" si="18"/>
        <v/>
      </c>
      <c r="AM47" s="653"/>
      <c r="AN47" s="656" t="str">
        <f>IFERROR(VLOOKUP(K47,'【参考】数式用'!$A$2:$N$57,14,FALSE),"")</f>
        <v/>
      </c>
      <c r="AO47" s="656" t="str">
        <f t="shared" si="3"/>
        <v/>
      </c>
      <c r="AP47" s="661" t="str">
        <f t="shared" si="4"/>
        <v/>
      </c>
      <c r="AQ47" s="661" t="str">
        <f t="shared" si="5"/>
        <v>入力済</v>
      </c>
      <c r="AR47" s="656" t="str">
        <f t="shared" si="6"/>
        <v/>
      </c>
      <c r="AS47" s="661" t="str">
        <f t="shared" si="7"/>
        <v>入力済</v>
      </c>
      <c r="AT47" s="661" t="str">
        <f t="shared" si="8"/>
        <v/>
      </c>
      <c r="AU47" s="661" t="str">
        <f t="shared" si="9"/>
        <v/>
      </c>
      <c r="AV47" s="656" t="str">
        <f t="shared" si="10"/>
        <v/>
      </c>
      <c r="AW47" s="656" t="str">
        <f t="shared" si="11"/>
        <v>入力済</v>
      </c>
      <c r="AX47" s="661" t="str">
        <f>IFERROR(VLOOKUP(K47,'【参考】数式用'!$AR$3:$AS$49,2,FALSE),"")</f>
        <v/>
      </c>
      <c r="AY47" s="656" t="str">
        <f t="shared" si="12"/>
        <v/>
      </c>
      <c r="AZ47" s="656" t="str">
        <f t="shared" si="19"/>
        <v>入力済</v>
      </c>
      <c r="BA47" s="661" t="str">
        <f>IFERROR(VLOOKUP(K47,'【参考】数式用'!$AX$3:$AY$56,2,FALSE),"")</f>
        <v/>
      </c>
      <c r="BB47" s="656" t="str">
        <f t="shared" si="14"/>
        <v/>
      </c>
      <c r="BC47" s="672" t="str">
        <f t="shared" si="15"/>
        <v>入力済</v>
      </c>
      <c r="BD47" s="656" t="str">
        <f t="shared" si="16"/>
        <v/>
      </c>
      <c r="BE47" s="656" t="str">
        <f t="shared" si="17"/>
        <v/>
      </c>
      <c r="BF47" s="658"/>
      <c r="BG47" s="658"/>
      <c r="BH47" s="680" t="e">
        <f>VLOOKUP(K47,'【参考】数式用'!$A$2:$O$57,15,FALSE)</f>
        <v>#N/A</v>
      </c>
      <c r="BI47" s="658"/>
      <c r="BJ47" s="658"/>
      <c r="BK47" s="658"/>
      <c r="BL47" s="658"/>
      <c r="BM47" s="658"/>
      <c r="BN47" s="658"/>
      <c r="BO47" s="675"/>
    </row>
    <row r="48" spans="1:67" s="494" customFormat="1"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IF(基本情報入力シート!AG76="","",基本情報入力シート!AG76)</f>
        <v/>
      </c>
      <c r="N48" s="569"/>
      <c r="O48" s="574" t="str">
        <f>IFERROR(VLOOKUP(K48,'【参考】数式用'!$A$2:$F$57,MATCH(N48,'【参考】数式用'!$C$3:$F$3,0)+2,0),"")</f>
        <v/>
      </c>
      <c r="P48" s="581" t="s">
        <v>543</v>
      </c>
      <c r="Q48" s="586"/>
      <c r="R48" s="588" t="s">
        <v>75</v>
      </c>
      <c r="S48" s="586"/>
      <c r="T48" s="588" t="s">
        <v>159</v>
      </c>
      <c r="U48" s="586"/>
      <c r="V48" s="588" t="s">
        <v>75</v>
      </c>
      <c r="W48" s="586"/>
      <c r="X48" s="588" t="s">
        <v>10</v>
      </c>
      <c r="Y48" s="588" t="s">
        <v>161</v>
      </c>
      <c r="Z48" s="588" t="str">
        <f t="shared" si="0"/>
        <v/>
      </c>
      <c r="AA48" s="592" t="s">
        <v>6</v>
      </c>
      <c r="AB48" s="597" t="str">
        <f t="shared" si="1"/>
        <v/>
      </c>
      <c r="AC48" s="602" t="str">
        <f>IFERROR(ROUNDDOWN(ROUNDDOWN(ROUND(L48*VLOOKUP(K48,'【参考】数式用'!$A$4:$F$57,MATCH("処遇改善加算Ⅳ",'【参考】数式用'!$C$3:$F$3,0)+2,0),0)*M48,0)*Z48*0.5,0),"")</f>
        <v/>
      </c>
      <c r="AD48" s="608"/>
      <c r="AE48" s="616"/>
      <c r="AF48" s="616"/>
      <c r="AG48" s="622"/>
      <c r="AH48" s="625"/>
      <c r="AI48" s="632"/>
      <c r="AJ48" s="632"/>
      <c r="AK48" s="647" t="str">
        <f t="shared" si="2"/>
        <v/>
      </c>
      <c r="AL48" s="650" t="str">
        <f t="shared" si="18"/>
        <v/>
      </c>
      <c r="AM48" s="653"/>
      <c r="AN48" s="656" t="str">
        <f>IFERROR(VLOOKUP(K48,'【参考】数式用'!$A$2:$N$57,14,FALSE),"")</f>
        <v/>
      </c>
      <c r="AO48" s="656" t="str">
        <f t="shared" si="3"/>
        <v/>
      </c>
      <c r="AP48" s="661" t="str">
        <f t="shared" si="4"/>
        <v/>
      </c>
      <c r="AQ48" s="661" t="str">
        <f t="shared" si="5"/>
        <v>入力済</v>
      </c>
      <c r="AR48" s="656" t="str">
        <f t="shared" si="6"/>
        <v/>
      </c>
      <c r="AS48" s="661" t="str">
        <f t="shared" si="7"/>
        <v>入力済</v>
      </c>
      <c r="AT48" s="661" t="str">
        <f t="shared" si="8"/>
        <v/>
      </c>
      <c r="AU48" s="661" t="str">
        <f t="shared" si="9"/>
        <v/>
      </c>
      <c r="AV48" s="656" t="str">
        <f t="shared" si="10"/>
        <v/>
      </c>
      <c r="AW48" s="656" t="str">
        <f t="shared" si="11"/>
        <v>入力済</v>
      </c>
      <c r="AX48" s="661" t="str">
        <f>IFERROR(VLOOKUP(K48,'【参考】数式用'!$AR$3:$AS$49,2,FALSE),"")</f>
        <v/>
      </c>
      <c r="AY48" s="656" t="str">
        <f t="shared" si="12"/>
        <v/>
      </c>
      <c r="AZ48" s="656" t="str">
        <f t="shared" si="19"/>
        <v>入力済</v>
      </c>
      <c r="BA48" s="661" t="str">
        <f>IFERROR(VLOOKUP(K48,'【参考】数式用'!$AX$3:$AY$56,2,FALSE),"")</f>
        <v/>
      </c>
      <c r="BB48" s="656" t="str">
        <f t="shared" si="14"/>
        <v/>
      </c>
      <c r="BC48" s="672" t="str">
        <f t="shared" si="15"/>
        <v>入力済</v>
      </c>
      <c r="BD48" s="656" t="str">
        <f t="shared" si="16"/>
        <v/>
      </c>
      <c r="BE48" s="656" t="str">
        <f t="shared" si="17"/>
        <v/>
      </c>
      <c r="BF48" s="658"/>
      <c r="BG48" s="658"/>
      <c r="BH48" s="680" t="e">
        <f>VLOOKUP(K48,'【参考】数式用'!$A$2:$O$57,15,FALSE)</f>
        <v>#N/A</v>
      </c>
      <c r="BI48" s="658"/>
      <c r="BJ48" s="658"/>
      <c r="BK48" s="658"/>
      <c r="BL48" s="658"/>
      <c r="BM48" s="658"/>
      <c r="BN48" s="658"/>
      <c r="BO48" s="675"/>
    </row>
    <row r="49" spans="1:67" s="494" customFormat="1"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IF(基本情報入力シート!AG77="","",基本情報入力シート!AG77)</f>
        <v/>
      </c>
      <c r="N49" s="569"/>
      <c r="O49" s="574" t="str">
        <f>IFERROR(VLOOKUP(K49,'【参考】数式用'!$A$2:$F$57,MATCH(N49,'【参考】数式用'!$C$3:$F$3,0)+2,0),"")</f>
        <v/>
      </c>
      <c r="P49" s="581" t="s">
        <v>543</v>
      </c>
      <c r="Q49" s="586"/>
      <c r="R49" s="588" t="s">
        <v>75</v>
      </c>
      <c r="S49" s="586"/>
      <c r="T49" s="588" t="s">
        <v>159</v>
      </c>
      <c r="U49" s="586"/>
      <c r="V49" s="588" t="s">
        <v>75</v>
      </c>
      <c r="W49" s="586"/>
      <c r="X49" s="588" t="s">
        <v>722</v>
      </c>
      <c r="Y49" s="588" t="s">
        <v>161</v>
      </c>
      <c r="Z49" s="588" t="str">
        <f t="shared" si="0"/>
        <v/>
      </c>
      <c r="AA49" s="592" t="s">
        <v>6</v>
      </c>
      <c r="AB49" s="597" t="str">
        <f t="shared" si="1"/>
        <v/>
      </c>
      <c r="AC49" s="602" t="str">
        <f>IFERROR(ROUNDDOWN(ROUNDDOWN(ROUND(L49*VLOOKUP(K49,'【参考】数式用'!$A$4:$F$57,MATCH("処遇改善加算Ⅳ",'【参考】数式用'!$C$3:$F$3,0)+2,0),0)*M49,0)*Z49*0.5,0),"")</f>
        <v/>
      </c>
      <c r="AD49" s="608"/>
      <c r="AE49" s="616"/>
      <c r="AF49" s="616"/>
      <c r="AG49" s="622"/>
      <c r="AH49" s="625"/>
      <c r="AI49" s="632"/>
      <c r="AJ49" s="632"/>
      <c r="AK49" s="647" t="str">
        <f t="shared" si="2"/>
        <v/>
      </c>
      <c r="AL49" s="650" t="str">
        <f t="shared" si="18"/>
        <v/>
      </c>
      <c r="AM49" s="653"/>
      <c r="AN49" s="656" t="str">
        <f>IFERROR(VLOOKUP(K49,'【参考】数式用'!$A$2:$N$57,14,FALSE),"")</f>
        <v/>
      </c>
      <c r="AO49" s="656" t="str">
        <f t="shared" si="3"/>
        <v/>
      </c>
      <c r="AP49" s="661" t="str">
        <f t="shared" si="4"/>
        <v/>
      </c>
      <c r="AQ49" s="661" t="str">
        <f t="shared" si="5"/>
        <v>入力済</v>
      </c>
      <c r="AR49" s="656" t="str">
        <f t="shared" si="6"/>
        <v/>
      </c>
      <c r="AS49" s="661" t="str">
        <f t="shared" si="7"/>
        <v>入力済</v>
      </c>
      <c r="AT49" s="661" t="str">
        <f t="shared" si="8"/>
        <v/>
      </c>
      <c r="AU49" s="661" t="str">
        <f t="shared" si="9"/>
        <v/>
      </c>
      <c r="AV49" s="656" t="str">
        <f t="shared" si="10"/>
        <v/>
      </c>
      <c r="AW49" s="656" t="str">
        <f t="shared" si="11"/>
        <v>入力済</v>
      </c>
      <c r="AX49" s="661" t="str">
        <f>IFERROR(VLOOKUP(K49,'【参考】数式用'!$AR$3:$AS$49,2,FALSE),"")</f>
        <v/>
      </c>
      <c r="AY49" s="656" t="str">
        <f t="shared" si="12"/>
        <v/>
      </c>
      <c r="AZ49" s="656" t="str">
        <f t="shared" si="19"/>
        <v>入力済</v>
      </c>
      <c r="BA49" s="661" t="str">
        <f>IFERROR(VLOOKUP(K49,'【参考】数式用'!$AX$3:$AY$56,2,FALSE),"")</f>
        <v/>
      </c>
      <c r="BB49" s="656" t="str">
        <f t="shared" si="14"/>
        <v/>
      </c>
      <c r="BC49" s="672" t="str">
        <f t="shared" si="15"/>
        <v>入力済</v>
      </c>
      <c r="BD49" s="656" t="str">
        <f t="shared" si="16"/>
        <v/>
      </c>
      <c r="BE49" s="656" t="str">
        <f t="shared" si="17"/>
        <v/>
      </c>
      <c r="BF49" s="658"/>
      <c r="BG49" s="658"/>
      <c r="BH49" s="680" t="e">
        <f>VLOOKUP(K49,'【参考】数式用'!$A$2:$O$57,15,FALSE)</f>
        <v>#N/A</v>
      </c>
      <c r="BI49" s="658"/>
      <c r="BJ49" s="658"/>
      <c r="BK49" s="658"/>
      <c r="BL49" s="658"/>
      <c r="BM49" s="658"/>
      <c r="BN49" s="658"/>
      <c r="BO49" s="675"/>
    </row>
    <row r="50" spans="1:67" s="494" customFormat="1"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IF(基本情報入力シート!AG78="","",基本情報入力シート!AG78)</f>
        <v/>
      </c>
      <c r="N50" s="569"/>
      <c r="O50" s="574" t="str">
        <f>IFERROR(VLOOKUP(K50,'【参考】数式用'!$A$2:$F$57,MATCH(N50,'【参考】数式用'!$C$3:$F$3,0)+2,0),"")</f>
        <v/>
      </c>
      <c r="P50" s="581" t="s">
        <v>543</v>
      </c>
      <c r="Q50" s="586"/>
      <c r="R50" s="588" t="s">
        <v>75</v>
      </c>
      <c r="S50" s="586"/>
      <c r="T50" s="588" t="s">
        <v>159</v>
      </c>
      <c r="U50" s="586"/>
      <c r="V50" s="588" t="s">
        <v>75</v>
      </c>
      <c r="W50" s="586"/>
      <c r="X50" s="588" t="s">
        <v>722</v>
      </c>
      <c r="Y50" s="588" t="s">
        <v>161</v>
      </c>
      <c r="Z50" s="588" t="str">
        <f t="shared" si="0"/>
        <v/>
      </c>
      <c r="AA50" s="592" t="s">
        <v>6</v>
      </c>
      <c r="AB50" s="597" t="str">
        <f t="shared" si="1"/>
        <v/>
      </c>
      <c r="AC50" s="602" t="str">
        <f>IFERROR(ROUNDDOWN(ROUNDDOWN(ROUND(L50*VLOOKUP(K50,'【参考】数式用'!$A$4:$F$57,MATCH("処遇改善加算Ⅳ",'【参考】数式用'!$C$3:$F$3,0)+2,0),0)*M50,0)*Z50*0.5,0),"")</f>
        <v/>
      </c>
      <c r="AD50" s="608"/>
      <c r="AE50" s="616"/>
      <c r="AF50" s="616"/>
      <c r="AG50" s="622"/>
      <c r="AH50" s="625"/>
      <c r="AI50" s="632"/>
      <c r="AJ50" s="632"/>
      <c r="AK50" s="647" t="str">
        <f t="shared" si="2"/>
        <v/>
      </c>
      <c r="AL50" s="650" t="str">
        <f t="shared" si="18"/>
        <v/>
      </c>
      <c r="AM50" s="653"/>
      <c r="AN50" s="656" t="str">
        <f>IFERROR(VLOOKUP(K50,'【参考】数式用'!$A$2:$N$57,14,FALSE),"")</f>
        <v/>
      </c>
      <c r="AO50" s="656" t="str">
        <f t="shared" si="3"/>
        <v/>
      </c>
      <c r="AP50" s="661" t="str">
        <f t="shared" si="4"/>
        <v/>
      </c>
      <c r="AQ50" s="661" t="str">
        <f t="shared" si="5"/>
        <v>入力済</v>
      </c>
      <c r="AR50" s="656" t="str">
        <f t="shared" si="6"/>
        <v/>
      </c>
      <c r="AS50" s="661" t="str">
        <f t="shared" si="7"/>
        <v>入力済</v>
      </c>
      <c r="AT50" s="661" t="str">
        <f t="shared" si="8"/>
        <v/>
      </c>
      <c r="AU50" s="661" t="str">
        <f t="shared" si="9"/>
        <v/>
      </c>
      <c r="AV50" s="656" t="str">
        <f t="shared" si="10"/>
        <v/>
      </c>
      <c r="AW50" s="656" t="str">
        <f t="shared" si="11"/>
        <v>入力済</v>
      </c>
      <c r="AX50" s="661" t="str">
        <f>IFERROR(VLOOKUP(K50,'【参考】数式用'!$AR$3:$AS$49,2,FALSE),"")</f>
        <v/>
      </c>
      <c r="AY50" s="656" t="str">
        <f t="shared" si="12"/>
        <v/>
      </c>
      <c r="AZ50" s="656" t="str">
        <f t="shared" si="19"/>
        <v>入力済</v>
      </c>
      <c r="BA50" s="661" t="str">
        <f>IFERROR(VLOOKUP(K50,'【参考】数式用'!$AX$3:$AY$56,2,FALSE),"")</f>
        <v/>
      </c>
      <c r="BB50" s="656" t="str">
        <f t="shared" si="14"/>
        <v/>
      </c>
      <c r="BC50" s="672" t="str">
        <f t="shared" si="15"/>
        <v>入力済</v>
      </c>
      <c r="BD50" s="656" t="str">
        <f t="shared" si="16"/>
        <v/>
      </c>
      <c r="BE50" s="656" t="str">
        <f t="shared" si="17"/>
        <v/>
      </c>
      <c r="BF50" s="658"/>
      <c r="BG50" s="658"/>
      <c r="BH50" s="680" t="e">
        <f>VLOOKUP(K50,'【参考】数式用'!$A$2:$O$57,15,FALSE)</f>
        <v>#N/A</v>
      </c>
      <c r="BI50" s="658"/>
      <c r="BJ50" s="658"/>
      <c r="BK50" s="658"/>
      <c r="BL50" s="658"/>
      <c r="BM50" s="658"/>
      <c r="BN50" s="658"/>
      <c r="BO50" s="675"/>
    </row>
    <row r="51" spans="1:67" s="494" customFormat="1"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IF(基本情報入力シート!AG79="","",基本情報入力シート!AG79)</f>
        <v/>
      </c>
      <c r="N51" s="569"/>
      <c r="O51" s="574" t="str">
        <f>IFERROR(VLOOKUP(K51,'【参考】数式用'!$A$2:$F$57,MATCH(N51,'【参考】数式用'!$C$3:$F$3,0)+2,0),"")</f>
        <v/>
      </c>
      <c r="P51" s="581" t="s">
        <v>543</v>
      </c>
      <c r="Q51" s="586"/>
      <c r="R51" s="588" t="s">
        <v>75</v>
      </c>
      <c r="S51" s="586"/>
      <c r="T51" s="588" t="s">
        <v>159</v>
      </c>
      <c r="U51" s="586"/>
      <c r="V51" s="588" t="s">
        <v>75</v>
      </c>
      <c r="W51" s="586"/>
      <c r="X51" s="588" t="s">
        <v>722</v>
      </c>
      <c r="Y51" s="588" t="s">
        <v>161</v>
      </c>
      <c r="Z51" s="588" t="str">
        <f t="shared" si="0"/>
        <v/>
      </c>
      <c r="AA51" s="592" t="s">
        <v>6</v>
      </c>
      <c r="AB51" s="597" t="str">
        <f t="shared" si="1"/>
        <v/>
      </c>
      <c r="AC51" s="602" t="str">
        <f>IFERROR(ROUNDDOWN(ROUNDDOWN(ROUND(L51*VLOOKUP(K51,'【参考】数式用'!$A$4:$F$57,MATCH("処遇改善加算Ⅳ",'【参考】数式用'!$C$3:$F$3,0)+2,0),0)*M51,0)*Z51*0.5,0),"")</f>
        <v/>
      </c>
      <c r="AD51" s="608"/>
      <c r="AE51" s="616"/>
      <c r="AF51" s="616"/>
      <c r="AG51" s="622"/>
      <c r="AH51" s="625"/>
      <c r="AI51" s="632"/>
      <c r="AJ51" s="632"/>
      <c r="AK51" s="647" t="str">
        <f t="shared" si="2"/>
        <v/>
      </c>
      <c r="AL51" s="650" t="str">
        <f t="shared" si="18"/>
        <v/>
      </c>
      <c r="AM51" s="653"/>
      <c r="AN51" s="656" t="str">
        <f>IFERROR(VLOOKUP(K51,'【参考】数式用'!$A$2:$N$57,14,FALSE),"")</f>
        <v/>
      </c>
      <c r="AO51" s="656" t="str">
        <f t="shared" si="3"/>
        <v/>
      </c>
      <c r="AP51" s="661" t="str">
        <f t="shared" si="4"/>
        <v/>
      </c>
      <c r="AQ51" s="661" t="str">
        <f t="shared" si="5"/>
        <v>入力済</v>
      </c>
      <c r="AR51" s="656" t="str">
        <f t="shared" si="6"/>
        <v/>
      </c>
      <c r="AS51" s="661" t="str">
        <f t="shared" si="7"/>
        <v>入力済</v>
      </c>
      <c r="AT51" s="661" t="str">
        <f t="shared" si="8"/>
        <v/>
      </c>
      <c r="AU51" s="661" t="str">
        <f t="shared" si="9"/>
        <v/>
      </c>
      <c r="AV51" s="656" t="str">
        <f t="shared" si="10"/>
        <v/>
      </c>
      <c r="AW51" s="656" t="str">
        <f t="shared" si="11"/>
        <v>入力済</v>
      </c>
      <c r="AX51" s="661" t="str">
        <f>IFERROR(VLOOKUP(K51,'【参考】数式用'!$AR$3:$AS$49,2,FALSE),"")</f>
        <v/>
      </c>
      <c r="AY51" s="656" t="str">
        <f t="shared" si="12"/>
        <v/>
      </c>
      <c r="AZ51" s="656" t="str">
        <f t="shared" si="19"/>
        <v>入力済</v>
      </c>
      <c r="BA51" s="661" t="str">
        <f>IFERROR(VLOOKUP(K51,'【参考】数式用'!$AX$3:$AY$56,2,FALSE),"")</f>
        <v/>
      </c>
      <c r="BB51" s="656" t="str">
        <f t="shared" si="14"/>
        <v/>
      </c>
      <c r="BC51" s="672" t="str">
        <f t="shared" si="15"/>
        <v>入力済</v>
      </c>
      <c r="BD51" s="656" t="str">
        <f t="shared" si="16"/>
        <v/>
      </c>
      <c r="BE51" s="656" t="str">
        <f t="shared" si="17"/>
        <v/>
      </c>
      <c r="BF51" s="658"/>
      <c r="BG51" s="658"/>
      <c r="BH51" s="680" t="e">
        <f>VLOOKUP(K51,'【参考】数式用'!$A$2:$O$57,15,FALSE)</f>
        <v>#N/A</v>
      </c>
      <c r="BI51" s="658"/>
      <c r="BJ51" s="658"/>
      <c r="BK51" s="658"/>
      <c r="BL51" s="658"/>
      <c r="BM51" s="658"/>
      <c r="BN51" s="658"/>
      <c r="BO51" s="675"/>
    </row>
    <row r="52" spans="1:67" s="494" customFormat="1"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IF(基本情報入力シート!AG80="","",基本情報入力シート!AG80)</f>
        <v/>
      </c>
      <c r="N52" s="569"/>
      <c r="O52" s="574" t="str">
        <f>IFERROR(VLOOKUP(K52,'【参考】数式用'!$A$2:$F$57,MATCH(N52,'【参考】数式用'!$C$3:$F$3,0)+2,0),"")</f>
        <v/>
      </c>
      <c r="P52" s="581" t="s">
        <v>543</v>
      </c>
      <c r="Q52" s="586"/>
      <c r="R52" s="588" t="s">
        <v>75</v>
      </c>
      <c r="S52" s="586"/>
      <c r="T52" s="588" t="s">
        <v>159</v>
      </c>
      <c r="U52" s="586"/>
      <c r="V52" s="588" t="s">
        <v>75</v>
      </c>
      <c r="W52" s="586"/>
      <c r="X52" s="588" t="s">
        <v>10</v>
      </c>
      <c r="Y52" s="588" t="s">
        <v>161</v>
      </c>
      <c r="Z52" s="588" t="str">
        <f t="shared" si="0"/>
        <v/>
      </c>
      <c r="AA52" s="592" t="s">
        <v>6</v>
      </c>
      <c r="AB52" s="597" t="str">
        <f t="shared" si="1"/>
        <v/>
      </c>
      <c r="AC52" s="602" t="str">
        <f>IFERROR(ROUNDDOWN(ROUNDDOWN(ROUND(L52*VLOOKUP(K52,'【参考】数式用'!$A$4:$F$57,MATCH("処遇改善加算Ⅳ",'【参考】数式用'!$C$3:$F$3,0)+2,0),0)*M52,0)*Z52*0.5,0),"")</f>
        <v/>
      </c>
      <c r="AD52" s="608"/>
      <c r="AE52" s="616"/>
      <c r="AF52" s="616"/>
      <c r="AG52" s="622"/>
      <c r="AH52" s="625"/>
      <c r="AI52" s="632"/>
      <c r="AJ52" s="632"/>
      <c r="AK52" s="647" t="str">
        <f t="shared" si="2"/>
        <v/>
      </c>
      <c r="AL52" s="650" t="str">
        <f t="shared" si="18"/>
        <v/>
      </c>
      <c r="AM52" s="653"/>
      <c r="AN52" s="656" t="str">
        <f>IFERROR(VLOOKUP(K52,'【参考】数式用'!$A$2:$N$57,14,FALSE),"")</f>
        <v/>
      </c>
      <c r="AO52" s="656" t="str">
        <f t="shared" si="3"/>
        <v/>
      </c>
      <c r="AP52" s="661" t="str">
        <f t="shared" si="4"/>
        <v/>
      </c>
      <c r="AQ52" s="661" t="str">
        <f t="shared" si="5"/>
        <v>入力済</v>
      </c>
      <c r="AR52" s="656" t="str">
        <f t="shared" si="6"/>
        <v/>
      </c>
      <c r="AS52" s="661" t="str">
        <f t="shared" si="7"/>
        <v>入力済</v>
      </c>
      <c r="AT52" s="661" t="str">
        <f t="shared" si="8"/>
        <v/>
      </c>
      <c r="AU52" s="661" t="str">
        <f t="shared" si="9"/>
        <v/>
      </c>
      <c r="AV52" s="656" t="str">
        <f t="shared" si="10"/>
        <v/>
      </c>
      <c r="AW52" s="656" t="str">
        <f t="shared" si="11"/>
        <v>入力済</v>
      </c>
      <c r="AX52" s="661" t="str">
        <f>IFERROR(VLOOKUP(K52,'【参考】数式用'!$AR$3:$AS$49,2,FALSE),"")</f>
        <v/>
      </c>
      <c r="AY52" s="656" t="str">
        <f t="shared" si="12"/>
        <v/>
      </c>
      <c r="AZ52" s="656" t="str">
        <f t="shared" si="19"/>
        <v>入力済</v>
      </c>
      <c r="BA52" s="661" t="str">
        <f>IFERROR(VLOOKUP(K52,'【参考】数式用'!$AX$3:$AY$56,2,FALSE),"")</f>
        <v/>
      </c>
      <c r="BB52" s="656" t="str">
        <f t="shared" si="14"/>
        <v/>
      </c>
      <c r="BC52" s="672" t="str">
        <f t="shared" si="15"/>
        <v>入力済</v>
      </c>
      <c r="BD52" s="656" t="str">
        <f t="shared" si="16"/>
        <v/>
      </c>
      <c r="BE52" s="656" t="str">
        <f t="shared" si="17"/>
        <v/>
      </c>
      <c r="BF52" s="658"/>
      <c r="BG52" s="658"/>
      <c r="BH52" s="680" t="e">
        <f>VLOOKUP(K52,'【参考】数式用'!$A$2:$O$57,15,FALSE)</f>
        <v>#N/A</v>
      </c>
      <c r="BI52" s="658"/>
      <c r="BJ52" s="658"/>
      <c r="BK52" s="658"/>
      <c r="BL52" s="658"/>
      <c r="BM52" s="658"/>
      <c r="BN52" s="658"/>
      <c r="BO52" s="675"/>
    </row>
    <row r="53" spans="1:67" s="494" customFormat="1"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IF(基本情報入力シート!AG81="","",基本情報入力シート!AG81)</f>
        <v/>
      </c>
      <c r="N53" s="569"/>
      <c r="O53" s="574" t="str">
        <f>IFERROR(VLOOKUP(K53,'【参考】数式用'!$A$2:$F$57,MATCH(N53,'【参考】数式用'!$C$3:$F$3,0)+2,0),"")</f>
        <v/>
      </c>
      <c r="P53" s="581" t="s">
        <v>543</v>
      </c>
      <c r="Q53" s="586"/>
      <c r="R53" s="588" t="s">
        <v>75</v>
      </c>
      <c r="S53" s="586"/>
      <c r="T53" s="588" t="s">
        <v>159</v>
      </c>
      <c r="U53" s="586"/>
      <c r="V53" s="588" t="s">
        <v>75</v>
      </c>
      <c r="W53" s="586"/>
      <c r="X53" s="588" t="s">
        <v>10</v>
      </c>
      <c r="Y53" s="588" t="s">
        <v>161</v>
      </c>
      <c r="Z53" s="588" t="str">
        <f t="shared" si="0"/>
        <v/>
      </c>
      <c r="AA53" s="592" t="s">
        <v>6</v>
      </c>
      <c r="AB53" s="597" t="str">
        <f t="shared" si="1"/>
        <v/>
      </c>
      <c r="AC53" s="602" t="str">
        <f>IFERROR(ROUNDDOWN(ROUNDDOWN(ROUND(L53*VLOOKUP(K53,'【参考】数式用'!$A$4:$F$57,MATCH("処遇改善加算Ⅳ",'【参考】数式用'!$C$3:$F$3,0)+2,0),0)*M53,0)*Z53*0.5,0),"")</f>
        <v/>
      </c>
      <c r="AD53" s="608"/>
      <c r="AE53" s="616"/>
      <c r="AF53" s="616"/>
      <c r="AG53" s="622"/>
      <c r="AH53" s="625"/>
      <c r="AI53" s="632"/>
      <c r="AJ53" s="632"/>
      <c r="AK53" s="647" t="str">
        <f t="shared" si="2"/>
        <v/>
      </c>
      <c r="AL53" s="650" t="str">
        <f t="shared" si="18"/>
        <v/>
      </c>
      <c r="AM53" s="653"/>
      <c r="AN53" s="656" t="str">
        <f>IFERROR(VLOOKUP(K53,'【参考】数式用'!$A$2:$N$57,14,FALSE),"")</f>
        <v/>
      </c>
      <c r="AO53" s="656" t="str">
        <f t="shared" si="3"/>
        <v/>
      </c>
      <c r="AP53" s="661" t="str">
        <f t="shared" si="4"/>
        <v/>
      </c>
      <c r="AQ53" s="661" t="str">
        <f t="shared" si="5"/>
        <v>入力済</v>
      </c>
      <c r="AR53" s="656" t="str">
        <f t="shared" si="6"/>
        <v/>
      </c>
      <c r="AS53" s="661" t="str">
        <f t="shared" si="7"/>
        <v>入力済</v>
      </c>
      <c r="AT53" s="661" t="str">
        <f t="shared" si="8"/>
        <v/>
      </c>
      <c r="AU53" s="661" t="str">
        <f t="shared" si="9"/>
        <v/>
      </c>
      <c r="AV53" s="656" t="str">
        <f t="shared" si="10"/>
        <v/>
      </c>
      <c r="AW53" s="656" t="str">
        <f t="shared" si="11"/>
        <v>入力済</v>
      </c>
      <c r="AX53" s="661" t="str">
        <f>IFERROR(VLOOKUP(K53,'【参考】数式用'!$AR$3:$AS$49,2,FALSE),"")</f>
        <v/>
      </c>
      <c r="AY53" s="656" t="str">
        <f t="shared" si="12"/>
        <v/>
      </c>
      <c r="AZ53" s="656" t="str">
        <f t="shared" si="19"/>
        <v>入力済</v>
      </c>
      <c r="BA53" s="661" t="str">
        <f>IFERROR(VLOOKUP(K53,'【参考】数式用'!$AX$3:$AY$56,2,FALSE),"")</f>
        <v/>
      </c>
      <c r="BB53" s="656" t="str">
        <f t="shared" si="14"/>
        <v/>
      </c>
      <c r="BC53" s="672" t="str">
        <f t="shared" si="15"/>
        <v>入力済</v>
      </c>
      <c r="BD53" s="656" t="str">
        <f t="shared" si="16"/>
        <v/>
      </c>
      <c r="BE53" s="656" t="str">
        <f t="shared" si="17"/>
        <v/>
      </c>
      <c r="BF53" s="658"/>
      <c r="BG53" s="658"/>
      <c r="BH53" s="680" t="e">
        <f>VLOOKUP(K53,'【参考】数式用'!$A$2:$O$57,15,FALSE)</f>
        <v>#N/A</v>
      </c>
      <c r="BI53" s="658"/>
      <c r="BJ53" s="658"/>
      <c r="BK53" s="658"/>
      <c r="BL53" s="658"/>
      <c r="BM53" s="658"/>
      <c r="BN53" s="658"/>
      <c r="BO53" s="675"/>
    </row>
    <row r="54" spans="1:67" s="494" customFormat="1"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IF(基本情報入力シート!AG82="","",基本情報入力シート!AG82)</f>
        <v/>
      </c>
      <c r="N54" s="569"/>
      <c r="O54" s="574" t="str">
        <f>IFERROR(VLOOKUP(K54,'【参考】数式用'!$A$2:$F$57,MATCH(N54,'【参考】数式用'!$C$3:$F$3,0)+2,0),"")</f>
        <v/>
      </c>
      <c r="P54" s="581" t="s">
        <v>543</v>
      </c>
      <c r="Q54" s="586"/>
      <c r="R54" s="588" t="s">
        <v>75</v>
      </c>
      <c r="S54" s="586"/>
      <c r="T54" s="588" t="s">
        <v>159</v>
      </c>
      <c r="U54" s="586"/>
      <c r="V54" s="588" t="s">
        <v>75</v>
      </c>
      <c r="W54" s="586"/>
      <c r="X54" s="588" t="s">
        <v>722</v>
      </c>
      <c r="Y54" s="588" t="s">
        <v>161</v>
      </c>
      <c r="Z54" s="588" t="str">
        <f t="shared" si="0"/>
        <v/>
      </c>
      <c r="AA54" s="592" t="s">
        <v>6</v>
      </c>
      <c r="AB54" s="597" t="str">
        <f t="shared" si="1"/>
        <v/>
      </c>
      <c r="AC54" s="602" t="str">
        <f>IFERROR(ROUNDDOWN(ROUNDDOWN(ROUND(L54*VLOOKUP(K54,'【参考】数式用'!$A$4:$F$57,MATCH("処遇改善加算Ⅳ",'【参考】数式用'!$C$3:$F$3,0)+2,0),0)*M54,0)*Z54*0.5,0),"")</f>
        <v/>
      </c>
      <c r="AD54" s="608"/>
      <c r="AE54" s="616"/>
      <c r="AF54" s="616"/>
      <c r="AG54" s="622"/>
      <c r="AH54" s="625"/>
      <c r="AI54" s="632"/>
      <c r="AJ54" s="632"/>
      <c r="AK54" s="647" t="str">
        <f t="shared" si="2"/>
        <v/>
      </c>
      <c r="AL54" s="650" t="str">
        <f t="shared" si="18"/>
        <v/>
      </c>
      <c r="AM54" s="653"/>
      <c r="AN54" s="656" t="str">
        <f>IFERROR(VLOOKUP(K54,'【参考】数式用'!$A$2:$N$57,14,FALSE),"")</f>
        <v/>
      </c>
      <c r="AO54" s="656" t="str">
        <f t="shared" si="3"/>
        <v/>
      </c>
      <c r="AP54" s="661" t="str">
        <f t="shared" si="4"/>
        <v/>
      </c>
      <c r="AQ54" s="661" t="str">
        <f t="shared" si="5"/>
        <v>入力済</v>
      </c>
      <c r="AR54" s="656" t="str">
        <f t="shared" si="6"/>
        <v/>
      </c>
      <c r="AS54" s="661" t="str">
        <f t="shared" si="7"/>
        <v>入力済</v>
      </c>
      <c r="AT54" s="661" t="str">
        <f t="shared" si="8"/>
        <v/>
      </c>
      <c r="AU54" s="661" t="str">
        <f t="shared" si="9"/>
        <v/>
      </c>
      <c r="AV54" s="656" t="str">
        <f t="shared" si="10"/>
        <v/>
      </c>
      <c r="AW54" s="656" t="str">
        <f t="shared" si="11"/>
        <v>入力済</v>
      </c>
      <c r="AX54" s="661" t="str">
        <f>IFERROR(VLOOKUP(K54,'【参考】数式用'!$AR$3:$AS$49,2,FALSE),"")</f>
        <v/>
      </c>
      <c r="AY54" s="656" t="str">
        <f t="shared" si="12"/>
        <v/>
      </c>
      <c r="AZ54" s="656" t="str">
        <f t="shared" si="19"/>
        <v>入力済</v>
      </c>
      <c r="BA54" s="661" t="str">
        <f>IFERROR(VLOOKUP(K54,'【参考】数式用'!$AX$3:$AY$56,2,FALSE),"")</f>
        <v/>
      </c>
      <c r="BB54" s="656" t="str">
        <f t="shared" si="14"/>
        <v/>
      </c>
      <c r="BC54" s="672" t="str">
        <f t="shared" si="15"/>
        <v>入力済</v>
      </c>
      <c r="BD54" s="656" t="str">
        <f t="shared" si="16"/>
        <v/>
      </c>
      <c r="BE54" s="656" t="str">
        <f t="shared" si="17"/>
        <v/>
      </c>
      <c r="BF54" s="658"/>
      <c r="BG54" s="658"/>
      <c r="BH54" s="680" t="e">
        <f>VLOOKUP(K54,'【参考】数式用'!$A$2:$O$57,15,FALSE)</f>
        <v>#N/A</v>
      </c>
      <c r="BI54" s="658"/>
      <c r="BJ54" s="658"/>
      <c r="BK54" s="658"/>
      <c r="BL54" s="658"/>
      <c r="BM54" s="658"/>
      <c r="BN54" s="658"/>
      <c r="BO54" s="675"/>
    </row>
    <row r="55" spans="1:67" s="494" customFormat="1"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IF(基本情報入力シート!AG83="","",基本情報入力シート!AG83)</f>
        <v/>
      </c>
      <c r="N55" s="569"/>
      <c r="O55" s="574" t="str">
        <f>IFERROR(VLOOKUP(K55,'【参考】数式用'!$A$2:$F$57,MATCH(N55,'【参考】数式用'!$C$3:$F$3,0)+2,0),"")</f>
        <v/>
      </c>
      <c r="P55" s="581" t="s">
        <v>543</v>
      </c>
      <c r="Q55" s="586"/>
      <c r="R55" s="588" t="s">
        <v>75</v>
      </c>
      <c r="S55" s="586"/>
      <c r="T55" s="588" t="s">
        <v>159</v>
      </c>
      <c r="U55" s="586"/>
      <c r="V55" s="588" t="s">
        <v>75</v>
      </c>
      <c r="W55" s="586"/>
      <c r="X55" s="588" t="s">
        <v>722</v>
      </c>
      <c r="Y55" s="588" t="s">
        <v>161</v>
      </c>
      <c r="Z55" s="588" t="str">
        <f t="shared" si="0"/>
        <v/>
      </c>
      <c r="AA55" s="592" t="s">
        <v>6</v>
      </c>
      <c r="AB55" s="597" t="str">
        <f t="shared" si="1"/>
        <v/>
      </c>
      <c r="AC55" s="602" t="str">
        <f>IFERROR(ROUNDDOWN(ROUNDDOWN(ROUND(L55*VLOOKUP(K55,'【参考】数式用'!$A$4:$F$57,MATCH("処遇改善加算Ⅳ",'【参考】数式用'!$C$3:$F$3,0)+2,0),0)*M55,0)*Z55*0.5,0),"")</f>
        <v/>
      </c>
      <c r="AD55" s="608"/>
      <c r="AE55" s="616"/>
      <c r="AF55" s="616"/>
      <c r="AG55" s="622"/>
      <c r="AH55" s="625"/>
      <c r="AI55" s="632"/>
      <c r="AJ55" s="632"/>
      <c r="AK55" s="647" t="str">
        <f t="shared" si="2"/>
        <v/>
      </c>
      <c r="AL55" s="650" t="str">
        <f t="shared" si="18"/>
        <v/>
      </c>
      <c r="AM55" s="653"/>
      <c r="AN55" s="656" t="str">
        <f>IFERROR(VLOOKUP(K55,'【参考】数式用'!$A$2:$N$57,14,FALSE),"")</f>
        <v/>
      </c>
      <c r="AO55" s="656" t="str">
        <f t="shared" si="3"/>
        <v/>
      </c>
      <c r="AP55" s="661" t="str">
        <f t="shared" si="4"/>
        <v/>
      </c>
      <c r="AQ55" s="661" t="str">
        <f t="shared" si="5"/>
        <v>入力済</v>
      </c>
      <c r="AR55" s="656" t="str">
        <f t="shared" si="6"/>
        <v/>
      </c>
      <c r="AS55" s="661" t="str">
        <f t="shared" si="7"/>
        <v>入力済</v>
      </c>
      <c r="AT55" s="661" t="str">
        <f t="shared" si="8"/>
        <v/>
      </c>
      <c r="AU55" s="661" t="str">
        <f t="shared" si="9"/>
        <v/>
      </c>
      <c r="AV55" s="656" t="str">
        <f t="shared" si="10"/>
        <v/>
      </c>
      <c r="AW55" s="656" t="str">
        <f t="shared" si="11"/>
        <v>入力済</v>
      </c>
      <c r="AX55" s="661" t="str">
        <f>IFERROR(VLOOKUP(K55,'【参考】数式用'!$AR$3:$AS$49,2,FALSE),"")</f>
        <v/>
      </c>
      <c r="AY55" s="656" t="str">
        <f t="shared" si="12"/>
        <v/>
      </c>
      <c r="AZ55" s="656" t="str">
        <f t="shared" si="19"/>
        <v>入力済</v>
      </c>
      <c r="BA55" s="661" t="str">
        <f>IFERROR(VLOOKUP(K55,'【参考】数式用'!$AX$3:$AY$56,2,FALSE),"")</f>
        <v/>
      </c>
      <c r="BB55" s="656" t="str">
        <f t="shared" si="14"/>
        <v/>
      </c>
      <c r="BC55" s="672" t="str">
        <f t="shared" si="15"/>
        <v>入力済</v>
      </c>
      <c r="BD55" s="656" t="str">
        <f t="shared" si="16"/>
        <v/>
      </c>
      <c r="BE55" s="656" t="str">
        <f t="shared" si="17"/>
        <v/>
      </c>
      <c r="BF55" s="658"/>
      <c r="BG55" s="658"/>
      <c r="BH55" s="680" t="e">
        <f>VLOOKUP(K55,'【参考】数式用'!$A$2:$O$57,15,FALSE)</f>
        <v>#N/A</v>
      </c>
      <c r="BI55" s="658"/>
      <c r="BJ55" s="658"/>
      <c r="BK55" s="658"/>
      <c r="BL55" s="658"/>
      <c r="BM55" s="658"/>
      <c r="BN55" s="658"/>
      <c r="BO55" s="675"/>
    </row>
    <row r="56" spans="1:67" s="494" customFormat="1"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IF(基本情報入力シート!AG84="","",基本情報入力シート!AG84)</f>
        <v/>
      </c>
      <c r="N56" s="569"/>
      <c r="O56" s="574" t="str">
        <f>IFERROR(VLOOKUP(K56,'【参考】数式用'!$A$2:$F$57,MATCH(N56,'【参考】数式用'!$C$3:$F$3,0)+2,0),"")</f>
        <v/>
      </c>
      <c r="P56" s="581" t="s">
        <v>543</v>
      </c>
      <c r="Q56" s="586"/>
      <c r="R56" s="588" t="s">
        <v>75</v>
      </c>
      <c r="S56" s="586"/>
      <c r="T56" s="588" t="s">
        <v>159</v>
      </c>
      <c r="U56" s="586"/>
      <c r="V56" s="588" t="s">
        <v>75</v>
      </c>
      <c r="W56" s="586"/>
      <c r="X56" s="588" t="s">
        <v>722</v>
      </c>
      <c r="Y56" s="588" t="s">
        <v>161</v>
      </c>
      <c r="Z56" s="588" t="str">
        <f t="shared" si="0"/>
        <v/>
      </c>
      <c r="AA56" s="592" t="s">
        <v>6</v>
      </c>
      <c r="AB56" s="597" t="str">
        <f t="shared" si="1"/>
        <v/>
      </c>
      <c r="AC56" s="602" t="str">
        <f>IFERROR(ROUNDDOWN(ROUNDDOWN(ROUND(L56*VLOOKUP(K56,'【参考】数式用'!$A$4:$F$57,MATCH("処遇改善加算Ⅳ",'【参考】数式用'!$C$3:$F$3,0)+2,0),0)*M56,0)*Z56*0.5,0),"")</f>
        <v/>
      </c>
      <c r="AD56" s="608"/>
      <c r="AE56" s="616"/>
      <c r="AF56" s="616"/>
      <c r="AG56" s="622"/>
      <c r="AH56" s="625"/>
      <c r="AI56" s="632"/>
      <c r="AJ56" s="632"/>
      <c r="AK56" s="647" t="str">
        <f t="shared" si="2"/>
        <v/>
      </c>
      <c r="AL56" s="650" t="str">
        <f t="shared" si="18"/>
        <v/>
      </c>
      <c r="AM56" s="653"/>
      <c r="AN56" s="656" t="str">
        <f>IFERROR(VLOOKUP(K56,'【参考】数式用'!$A$2:$N$57,14,FALSE),"")</f>
        <v/>
      </c>
      <c r="AO56" s="656" t="str">
        <f t="shared" si="3"/>
        <v/>
      </c>
      <c r="AP56" s="661" t="str">
        <f t="shared" si="4"/>
        <v/>
      </c>
      <c r="AQ56" s="661" t="str">
        <f t="shared" si="5"/>
        <v>入力済</v>
      </c>
      <c r="AR56" s="656" t="str">
        <f t="shared" si="6"/>
        <v/>
      </c>
      <c r="AS56" s="661" t="str">
        <f t="shared" si="7"/>
        <v>入力済</v>
      </c>
      <c r="AT56" s="661" t="str">
        <f t="shared" si="8"/>
        <v/>
      </c>
      <c r="AU56" s="661" t="str">
        <f t="shared" si="9"/>
        <v/>
      </c>
      <c r="AV56" s="656" t="str">
        <f t="shared" si="10"/>
        <v/>
      </c>
      <c r="AW56" s="656" t="str">
        <f t="shared" si="11"/>
        <v>入力済</v>
      </c>
      <c r="AX56" s="661" t="str">
        <f>IFERROR(VLOOKUP(K56,'【参考】数式用'!$AR$3:$AS$49,2,FALSE),"")</f>
        <v/>
      </c>
      <c r="AY56" s="656" t="str">
        <f t="shared" si="12"/>
        <v/>
      </c>
      <c r="AZ56" s="656" t="str">
        <f t="shared" si="19"/>
        <v>入力済</v>
      </c>
      <c r="BA56" s="661" t="str">
        <f>IFERROR(VLOOKUP(K56,'【参考】数式用'!$AX$3:$AY$56,2,FALSE),"")</f>
        <v/>
      </c>
      <c r="BB56" s="656" t="str">
        <f t="shared" si="14"/>
        <v/>
      </c>
      <c r="BC56" s="672" t="str">
        <f t="shared" si="15"/>
        <v>入力済</v>
      </c>
      <c r="BD56" s="656" t="str">
        <f t="shared" si="16"/>
        <v/>
      </c>
      <c r="BE56" s="656" t="str">
        <f t="shared" si="17"/>
        <v/>
      </c>
      <c r="BF56" s="658"/>
      <c r="BG56" s="658"/>
      <c r="BH56" s="680" t="e">
        <f>VLOOKUP(K56,'【参考】数式用'!$A$2:$O$57,15,FALSE)</f>
        <v>#N/A</v>
      </c>
      <c r="BI56" s="658"/>
      <c r="BJ56" s="658"/>
      <c r="BK56" s="658"/>
      <c r="BL56" s="658"/>
      <c r="BM56" s="658"/>
      <c r="BN56" s="658"/>
      <c r="BO56" s="675"/>
    </row>
    <row r="57" spans="1:67" s="494" customFormat="1"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IF(基本情報入力シート!AG85="","",基本情報入力シート!AG85)</f>
        <v/>
      </c>
      <c r="N57" s="569"/>
      <c r="O57" s="574" t="str">
        <f>IFERROR(VLOOKUP(K57,'【参考】数式用'!$A$2:$F$57,MATCH(N57,'【参考】数式用'!$C$3:$F$3,0)+2,0),"")</f>
        <v/>
      </c>
      <c r="P57" s="581" t="s">
        <v>543</v>
      </c>
      <c r="Q57" s="586"/>
      <c r="R57" s="588" t="s">
        <v>75</v>
      </c>
      <c r="S57" s="586"/>
      <c r="T57" s="588" t="s">
        <v>159</v>
      </c>
      <c r="U57" s="586"/>
      <c r="V57" s="588" t="s">
        <v>75</v>
      </c>
      <c r="W57" s="586"/>
      <c r="X57" s="588" t="s">
        <v>10</v>
      </c>
      <c r="Y57" s="588" t="s">
        <v>161</v>
      </c>
      <c r="Z57" s="588" t="str">
        <f t="shared" si="0"/>
        <v/>
      </c>
      <c r="AA57" s="592" t="s">
        <v>6</v>
      </c>
      <c r="AB57" s="597" t="str">
        <f t="shared" si="1"/>
        <v/>
      </c>
      <c r="AC57" s="602" t="str">
        <f>IFERROR(ROUNDDOWN(ROUNDDOWN(ROUND(L57*VLOOKUP(K57,'【参考】数式用'!$A$4:$F$57,MATCH("処遇改善加算Ⅳ",'【参考】数式用'!$C$3:$F$3,0)+2,0),0)*M57,0)*Z57*0.5,0),"")</f>
        <v/>
      </c>
      <c r="AD57" s="608"/>
      <c r="AE57" s="616"/>
      <c r="AF57" s="616"/>
      <c r="AG57" s="622"/>
      <c r="AH57" s="625"/>
      <c r="AI57" s="632"/>
      <c r="AJ57" s="632"/>
      <c r="AK57" s="647" t="str">
        <f t="shared" si="2"/>
        <v/>
      </c>
      <c r="AL57" s="650" t="str">
        <f t="shared" si="18"/>
        <v/>
      </c>
      <c r="AM57" s="653"/>
      <c r="AN57" s="656" t="str">
        <f>IFERROR(VLOOKUP(K57,'【参考】数式用'!$A$2:$N$57,14,FALSE),"")</f>
        <v/>
      </c>
      <c r="AO57" s="656" t="str">
        <f t="shared" si="3"/>
        <v/>
      </c>
      <c r="AP57" s="661" t="str">
        <f t="shared" si="4"/>
        <v/>
      </c>
      <c r="AQ57" s="661" t="str">
        <f t="shared" si="5"/>
        <v>入力済</v>
      </c>
      <c r="AR57" s="656" t="str">
        <f t="shared" si="6"/>
        <v/>
      </c>
      <c r="AS57" s="661" t="str">
        <f t="shared" si="7"/>
        <v>入力済</v>
      </c>
      <c r="AT57" s="661" t="str">
        <f t="shared" si="8"/>
        <v/>
      </c>
      <c r="AU57" s="661" t="str">
        <f t="shared" si="9"/>
        <v/>
      </c>
      <c r="AV57" s="656" t="str">
        <f t="shared" si="10"/>
        <v/>
      </c>
      <c r="AW57" s="656" t="str">
        <f t="shared" si="11"/>
        <v>入力済</v>
      </c>
      <c r="AX57" s="661" t="str">
        <f>IFERROR(VLOOKUP(K57,'【参考】数式用'!$AR$3:$AS$49,2,FALSE),"")</f>
        <v/>
      </c>
      <c r="AY57" s="656" t="str">
        <f t="shared" si="12"/>
        <v/>
      </c>
      <c r="AZ57" s="656" t="str">
        <f t="shared" si="19"/>
        <v>入力済</v>
      </c>
      <c r="BA57" s="661" t="str">
        <f>IFERROR(VLOOKUP(K57,'【参考】数式用'!$AX$3:$AY$56,2,FALSE),"")</f>
        <v/>
      </c>
      <c r="BB57" s="656" t="str">
        <f t="shared" si="14"/>
        <v/>
      </c>
      <c r="BC57" s="672" t="str">
        <f t="shared" si="15"/>
        <v>入力済</v>
      </c>
      <c r="BD57" s="656" t="str">
        <f t="shared" si="16"/>
        <v/>
      </c>
      <c r="BE57" s="656" t="str">
        <f t="shared" si="17"/>
        <v/>
      </c>
      <c r="BF57" s="658"/>
      <c r="BG57" s="658"/>
      <c r="BH57" s="680" t="e">
        <f>VLOOKUP(K57,'【参考】数式用'!$A$2:$O$57,15,FALSE)</f>
        <v>#N/A</v>
      </c>
      <c r="BI57" s="658"/>
      <c r="BJ57" s="658"/>
      <c r="BK57" s="658"/>
      <c r="BL57" s="658"/>
      <c r="BM57" s="658"/>
      <c r="BN57" s="658"/>
      <c r="BO57" s="675"/>
    </row>
    <row r="58" spans="1:67" s="494" customFormat="1"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IF(基本情報入力シート!AG86="","",基本情報入力シート!AG86)</f>
        <v/>
      </c>
      <c r="N58" s="569"/>
      <c r="O58" s="574" t="str">
        <f>IFERROR(VLOOKUP(K58,'【参考】数式用'!$A$2:$F$57,MATCH(N58,'【参考】数式用'!$C$3:$F$3,0)+2,0),"")</f>
        <v/>
      </c>
      <c r="P58" s="581" t="s">
        <v>543</v>
      </c>
      <c r="Q58" s="586"/>
      <c r="R58" s="588" t="s">
        <v>75</v>
      </c>
      <c r="S58" s="586"/>
      <c r="T58" s="588" t="s">
        <v>159</v>
      </c>
      <c r="U58" s="586"/>
      <c r="V58" s="588" t="s">
        <v>75</v>
      </c>
      <c r="W58" s="586"/>
      <c r="X58" s="588" t="s">
        <v>722</v>
      </c>
      <c r="Y58" s="588" t="s">
        <v>161</v>
      </c>
      <c r="Z58" s="588" t="str">
        <f t="shared" si="0"/>
        <v/>
      </c>
      <c r="AA58" s="592" t="s">
        <v>6</v>
      </c>
      <c r="AB58" s="597" t="str">
        <f t="shared" si="1"/>
        <v/>
      </c>
      <c r="AC58" s="602" t="str">
        <f>IFERROR(ROUNDDOWN(ROUNDDOWN(ROUND(L58*VLOOKUP(K58,'【参考】数式用'!$A$4:$F$57,MATCH("処遇改善加算Ⅳ",'【参考】数式用'!$C$3:$F$3,0)+2,0),0)*M58,0)*Z58*0.5,0),"")</f>
        <v/>
      </c>
      <c r="AD58" s="608"/>
      <c r="AE58" s="616"/>
      <c r="AF58" s="616"/>
      <c r="AG58" s="622"/>
      <c r="AH58" s="625"/>
      <c r="AI58" s="632"/>
      <c r="AJ58" s="632"/>
      <c r="AK58" s="647" t="str">
        <f t="shared" si="2"/>
        <v/>
      </c>
      <c r="AL58" s="650" t="str">
        <f t="shared" si="18"/>
        <v/>
      </c>
      <c r="AM58" s="653"/>
      <c r="AN58" s="656" t="str">
        <f>IFERROR(VLOOKUP(K58,'【参考】数式用'!$A$2:$N$57,14,FALSE),"")</f>
        <v/>
      </c>
      <c r="AO58" s="656" t="str">
        <f t="shared" si="3"/>
        <v/>
      </c>
      <c r="AP58" s="661" t="str">
        <f t="shared" si="4"/>
        <v/>
      </c>
      <c r="AQ58" s="661" t="str">
        <f t="shared" si="5"/>
        <v>入力済</v>
      </c>
      <c r="AR58" s="656" t="str">
        <f t="shared" si="6"/>
        <v/>
      </c>
      <c r="AS58" s="661" t="str">
        <f t="shared" si="7"/>
        <v>入力済</v>
      </c>
      <c r="AT58" s="661" t="str">
        <f t="shared" si="8"/>
        <v/>
      </c>
      <c r="AU58" s="661" t="str">
        <f t="shared" si="9"/>
        <v/>
      </c>
      <c r="AV58" s="656" t="str">
        <f t="shared" si="10"/>
        <v/>
      </c>
      <c r="AW58" s="656" t="str">
        <f t="shared" si="11"/>
        <v>入力済</v>
      </c>
      <c r="AX58" s="661" t="str">
        <f>IFERROR(VLOOKUP(K58,'【参考】数式用'!$AR$3:$AS$49,2,FALSE),"")</f>
        <v/>
      </c>
      <c r="AY58" s="656" t="str">
        <f t="shared" si="12"/>
        <v/>
      </c>
      <c r="AZ58" s="656" t="str">
        <f t="shared" si="19"/>
        <v>入力済</v>
      </c>
      <c r="BA58" s="661" t="str">
        <f>IFERROR(VLOOKUP(K58,'【参考】数式用'!$AX$3:$AY$56,2,FALSE),"")</f>
        <v/>
      </c>
      <c r="BB58" s="656" t="str">
        <f t="shared" si="14"/>
        <v/>
      </c>
      <c r="BC58" s="672" t="str">
        <f t="shared" si="15"/>
        <v>入力済</v>
      </c>
      <c r="BD58" s="656" t="str">
        <f t="shared" si="16"/>
        <v/>
      </c>
      <c r="BE58" s="656" t="str">
        <f t="shared" si="17"/>
        <v/>
      </c>
      <c r="BF58" s="658"/>
      <c r="BG58" s="658"/>
      <c r="BH58" s="680" t="e">
        <f>VLOOKUP(K58,'【参考】数式用'!$A$2:$O$57,15,FALSE)</f>
        <v>#N/A</v>
      </c>
      <c r="BI58" s="658"/>
      <c r="BJ58" s="658"/>
      <c r="BK58" s="658"/>
      <c r="BL58" s="658"/>
      <c r="BM58" s="658"/>
      <c r="BN58" s="658"/>
      <c r="BO58" s="675"/>
    </row>
    <row r="59" spans="1:67" s="494" customFormat="1"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IF(基本情報入力シート!AG87="","",基本情報入力シート!AG87)</f>
        <v/>
      </c>
      <c r="N59" s="569"/>
      <c r="O59" s="574" t="str">
        <f>IFERROR(VLOOKUP(K59,'【参考】数式用'!$A$2:$F$57,MATCH(N59,'【参考】数式用'!$C$3:$F$3,0)+2,0),"")</f>
        <v/>
      </c>
      <c r="P59" s="581" t="s">
        <v>543</v>
      </c>
      <c r="Q59" s="586"/>
      <c r="R59" s="588" t="s">
        <v>75</v>
      </c>
      <c r="S59" s="586"/>
      <c r="T59" s="588" t="s">
        <v>159</v>
      </c>
      <c r="U59" s="586"/>
      <c r="V59" s="588" t="s">
        <v>75</v>
      </c>
      <c r="W59" s="586"/>
      <c r="X59" s="588" t="s">
        <v>722</v>
      </c>
      <c r="Y59" s="588" t="s">
        <v>161</v>
      </c>
      <c r="Z59" s="588" t="str">
        <f t="shared" si="0"/>
        <v/>
      </c>
      <c r="AA59" s="592" t="s">
        <v>6</v>
      </c>
      <c r="AB59" s="597" t="str">
        <f t="shared" si="1"/>
        <v/>
      </c>
      <c r="AC59" s="602" t="str">
        <f>IFERROR(ROUNDDOWN(ROUNDDOWN(ROUND(L59*VLOOKUP(K59,'【参考】数式用'!$A$4:$F$57,MATCH("処遇改善加算Ⅳ",'【参考】数式用'!$C$3:$F$3,0)+2,0),0)*M59,0)*Z59*0.5,0),"")</f>
        <v/>
      </c>
      <c r="AD59" s="608"/>
      <c r="AE59" s="616"/>
      <c r="AF59" s="616"/>
      <c r="AG59" s="622"/>
      <c r="AH59" s="625"/>
      <c r="AI59" s="632"/>
      <c r="AJ59" s="632"/>
      <c r="AK59" s="647" t="str">
        <f t="shared" si="2"/>
        <v/>
      </c>
      <c r="AL59" s="650" t="str">
        <f t="shared" si="18"/>
        <v/>
      </c>
      <c r="AM59" s="653"/>
      <c r="AN59" s="656" t="str">
        <f>IFERROR(VLOOKUP(K59,'【参考】数式用'!$A$2:$N$57,14,FALSE),"")</f>
        <v/>
      </c>
      <c r="AO59" s="656" t="str">
        <f t="shared" si="3"/>
        <v/>
      </c>
      <c r="AP59" s="661" t="str">
        <f t="shared" si="4"/>
        <v/>
      </c>
      <c r="AQ59" s="661" t="str">
        <f t="shared" si="5"/>
        <v>入力済</v>
      </c>
      <c r="AR59" s="656" t="str">
        <f t="shared" si="6"/>
        <v/>
      </c>
      <c r="AS59" s="661" t="str">
        <f t="shared" si="7"/>
        <v>入力済</v>
      </c>
      <c r="AT59" s="661" t="str">
        <f t="shared" si="8"/>
        <v/>
      </c>
      <c r="AU59" s="661" t="str">
        <f t="shared" si="9"/>
        <v/>
      </c>
      <c r="AV59" s="656" t="str">
        <f t="shared" si="10"/>
        <v/>
      </c>
      <c r="AW59" s="656" t="str">
        <f t="shared" si="11"/>
        <v>入力済</v>
      </c>
      <c r="AX59" s="661" t="str">
        <f>IFERROR(VLOOKUP(K59,'【参考】数式用'!$AR$3:$AS$49,2,FALSE),"")</f>
        <v/>
      </c>
      <c r="AY59" s="656" t="str">
        <f t="shared" si="12"/>
        <v/>
      </c>
      <c r="AZ59" s="656" t="str">
        <f t="shared" si="19"/>
        <v>入力済</v>
      </c>
      <c r="BA59" s="661" t="str">
        <f>IFERROR(VLOOKUP(K59,'【参考】数式用'!$AX$3:$AY$56,2,FALSE),"")</f>
        <v/>
      </c>
      <c r="BB59" s="656" t="str">
        <f t="shared" si="14"/>
        <v/>
      </c>
      <c r="BC59" s="672" t="str">
        <f t="shared" si="15"/>
        <v>入力済</v>
      </c>
      <c r="BD59" s="656" t="str">
        <f t="shared" si="16"/>
        <v/>
      </c>
      <c r="BE59" s="656" t="str">
        <f t="shared" si="17"/>
        <v/>
      </c>
      <c r="BF59" s="658"/>
      <c r="BG59" s="658"/>
      <c r="BH59" s="680" t="e">
        <f>VLOOKUP(K59,'【参考】数式用'!$A$2:$O$57,15,FALSE)</f>
        <v>#N/A</v>
      </c>
      <c r="BI59" s="658"/>
      <c r="BJ59" s="658"/>
      <c r="BK59" s="658"/>
      <c r="BL59" s="658"/>
      <c r="BM59" s="658"/>
      <c r="BN59" s="658"/>
      <c r="BO59" s="675"/>
    </row>
    <row r="60" spans="1:67" s="494" customFormat="1"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IF(基本情報入力シート!AG88="","",基本情報入力シート!AG88)</f>
        <v/>
      </c>
      <c r="N60" s="569"/>
      <c r="O60" s="574" t="str">
        <f>IFERROR(VLOOKUP(K60,'【参考】数式用'!$A$2:$F$57,MATCH(N60,'【参考】数式用'!$C$3:$F$3,0)+2,0),"")</f>
        <v/>
      </c>
      <c r="P60" s="581" t="s">
        <v>543</v>
      </c>
      <c r="Q60" s="586"/>
      <c r="R60" s="588" t="s">
        <v>75</v>
      </c>
      <c r="S60" s="586"/>
      <c r="T60" s="588" t="s">
        <v>159</v>
      </c>
      <c r="U60" s="586"/>
      <c r="V60" s="588" t="s">
        <v>75</v>
      </c>
      <c r="W60" s="586"/>
      <c r="X60" s="588" t="s">
        <v>722</v>
      </c>
      <c r="Y60" s="588" t="s">
        <v>161</v>
      </c>
      <c r="Z60" s="588" t="str">
        <f t="shared" si="0"/>
        <v/>
      </c>
      <c r="AA60" s="592" t="s">
        <v>6</v>
      </c>
      <c r="AB60" s="597" t="str">
        <f t="shared" si="1"/>
        <v/>
      </c>
      <c r="AC60" s="602" t="str">
        <f>IFERROR(ROUNDDOWN(ROUNDDOWN(ROUND(L60*VLOOKUP(K60,'【参考】数式用'!$A$4:$F$57,MATCH("処遇改善加算Ⅳ",'【参考】数式用'!$C$3:$F$3,0)+2,0),0)*M60,0)*Z60*0.5,0),"")</f>
        <v/>
      </c>
      <c r="AD60" s="608"/>
      <c r="AE60" s="616"/>
      <c r="AF60" s="616"/>
      <c r="AG60" s="622"/>
      <c r="AH60" s="625"/>
      <c r="AI60" s="632"/>
      <c r="AJ60" s="632"/>
      <c r="AK60" s="647" t="str">
        <f t="shared" si="2"/>
        <v/>
      </c>
      <c r="AL60" s="650" t="str">
        <f t="shared" si="18"/>
        <v/>
      </c>
      <c r="AM60" s="653"/>
      <c r="AN60" s="656" t="str">
        <f>IFERROR(VLOOKUP(K60,'【参考】数式用'!$A$2:$N$57,14,FALSE),"")</f>
        <v/>
      </c>
      <c r="AO60" s="656" t="str">
        <f t="shared" si="3"/>
        <v/>
      </c>
      <c r="AP60" s="661" t="str">
        <f t="shared" si="4"/>
        <v/>
      </c>
      <c r="AQ60" s="661" t="str">
        <f t="shared" si="5"/>
        <v>入力済</v>
      </c>
      <c r="AR60" s="656" t="str">
        <f t="shared" si="6"/>
        <v/>
      </c>
      <c r="AS60" s="661" t="str">
        <f t="shared" si="7"/>
        <v>入力済</v>
      </c>
      <c r="AT60" s="661" t="str">
        <f t="shared" si="8"/>
        <v/>
      </c>
      <c r="AU60" s="661" t="str">
        <f t="shared" si="9"/>
        <v/>
      </c>
      <c r="AV60" s="656" t="str">
        <f t="shared" si="10"/>
        <v/>
      </c>
      <c r="AW60" s="656" t="str">
        <f t="shared" si="11"/>
        <v>入力済</v>
      </c>
      <c r="AX60" s="661" t="str">
        <f>IFERROR(VLOOKUP(K60,'【参考】数式用'!$AR$3:$AS$49,2,FALSE),"")</f>
        <v/>
      </c>
      <c r="AY60" s="656" t="str">
        <f t="shared" si="12"/>
        <v/>
      </c>
      <c r="AZ60" s="656" t="str">
        <f t="shared" si="19"/>
        <v>入力済</v>
      </c>
      <c r="BA60" s="661" t="str">
        <f>IFERROR(VLOOKUP(K60,'【参考】数式用'!$AX$3:$AY$56,2,FALSE),"")</f>
        <v/>
      </c>
      <c r="BB60" s="656" t="str">
        <f t="shared" si="14"/>
        <v/>
      </c>
      <c r="BC60" s="672" t="str">
        <f t="shared" si="15"/>
        <v>入力済</v>
      </c>
      <c r="BD60" s="656" t="str">
        <f t="shared" si="16"/>
        <v/>
      </c>
      <c r="BE60" s="656" t="str">
        <f t="shared" si="17"/>
        <v/>
      </c>
      <c r="BF60" s="658"/>
      <c r="BG60" s="658"/>
      <c r="BH60" s="680" t="e">
        <f>VLOOKUP(K60,'【参考】数式用'!$A$2:$O$57,15,FALSE)</f>
        <v>#N/A</v>
      </c>
      <c r="BI60" s="658"/>
      <c r="BJ60" s="658"/>
      <c r="BK60" s="658"/>
      <c r="BL60" s="658"/>
      <c r="BM60" s="658"/>
      <c r="BN60" s="658"/>
      <c r="BO60" s="675"/>
    </row>
    <row r="61" spans="1:67" s="494" customFormat="1"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IF(基本情報入力シート!AG89="","",基本情報入力シート!AG89)</f>
        <v/>
      </c>
      <c r="N61" s="569"/>
      <c r="O61" s="574" t="str">
        <f>IFERROR(VLOOKUP(K61,'【参考】数式用'!$A$2:$F$57,MATCH(N61,'【参考】数式用'!$C$3:$F$3,0)+2,0),"")</f>
        <v/>
      </c>
      <c r="P61" s="581" t="s">
        <v>543</v>
      </c>
      <c r="Q61" s="586"/>
      <c r="R61" s="588" t="s">
        <v>75</v>
      </c>
      <c r="S61" s="586"/>
      <c r="T61" s="588" t="s">
        <v>159</v>
      </c>
      <c r="U61" s="586"/>
      <c r="V61" s="588" t="s">
        <v>75</v>
      </c>
      <c r="W61" s="586"/>
      <c r="X61" s="588" t="s">
        <v>10</v>
      </c>
      <c r="Y61" s="588" t="s">
        <v>161</v>
      </c>
      <c r="Z61" s="588" t="str">
        <f t="shared" si="0"/>
        <v/>
      </c>
      <c r="AA61" s="592" t="s">
        <v>6</v>
      </c>
      <c r="AB61" s="597" t="str">
        <f t="shared" si="1"/>
        <v/>
      </c>
      <c r="AC61" s="602" t="str">
        <f>IFERROR(ROUNDDOWN(ROUNDDOWN(ROUND(L61*VLOOKUP(K61,'【参考】数式用'!$A$4:$F$57,MATCH("処遇改善加算Ⅳ",'【参考】数式用'!$C$3:$F$3,0)+2,0),0)*M61,0)*Z61*0.5,0),"")</f>
        <v/>
      </c>
      <c r="AD61" s="608"/>
      <c r="AE61" s="616"/>
      <c r="AF61" s="616"/>
      <c r="AG61" s="622"/>
      <c r="AH61" s="625"/>
      <c r="AI61" s="632"/>
      <c r="AJ61" s="632"/>
      <c r="AK61" s="647" t="str">
        <f t="shared" si="2"/>
        <v/>
      </c>
      <c r="AL61" s="650" t="str">
        <f t="shared" si="18"/>
        <v/>
      </c>
      <c r="AM61" s="653"/>
      <c r="AN61" s="656" t="str">
        <f>IFERROR(VLOOKUP(K61,'【参考】数式用'!$A$2:$N$57,14,FALSE),"")</f>
        <v/>
      </c>
      <c r="AO61" s="656" t="str">
        <f t="shared" si="3"/>
        <v/>
      </c>
      <c r="AP61" s="661" t="str">
        <f t="shared" si="4"/>
        <v/>
      </c>
      <c r="AQ61" s="661" t="str">
        <f t="shared" si="5"/>
        <v>入力済</v>
      </c>
      <c r="AR61" s="656" t="str">
        <f t="shared" si="6"/>
        <v/>
      </c>
      <c r="AS61" s="661" t="str">
        <f t="shared" si="7"/>
        <v>入力済</v>
      </c>
      <c r="AT61" s="661" t="str">
        <f t="shared" si="8"/>
        <v/>
      </c>
      <c r="AU61" s="661" t="str">
        <f t="shared" si="9"/>
        <v/>
      </c>
      <c r="AV61" s="656" t="str">
        <f t="shared" si="10"/>
        <v/>
      </c>
      <c r="AW61" s="656" t="str">
        <f t="shared" si="11"/>
        <v>入力済</v>
      </c>
      <c r="AX61" s="661" t="str">
        <f>IFERROR(VLOOKUP(K61,'【参考】数式用'!$AR$3:$AS$49,2,FALSE),"")</f>
        <v/>
      </c>
      <c r="AY61" s="656" t="str">
        <f t="shared" si="12"/>
        <v/>
      </c>
      <c r="AZ61" s="656" t="str">
        <f t="shared" si="19"/>
        <v>入力済</v>
      </c>
      <c r="BA61" s="661" t="str">
        <f>IFERROR(VLOOKUP(K61,'【参考】数式用'!$AX$3:$AY$56,2,FALSE),"")</f>
        <v/>
      </c>
      <c r="BB61" s="656" t="str">
        <f t="shared" si="14"/>
        <v/>
      </c>
      <c r="BC61" s="672" t="str">
        <f t="shared" si="15"/>
        <v>入力済</v>
      </c>
      <c r="BD61" s="656" t="str">
        <f t="shared" si="16"/>
        <v/>
      </c>
      <c r="BE61" s="656" t="str">
        <f t="shared" si="17"/>
        <v/>
      </c>
      <c r="BF61" s="658"/>
      <c r="BG61" s="658"/>
      <c r="BH61" s="680" t="e">
        <f>VLOOKUP(K61,'【参考】数式用'!$A$2:$O$57,15,FALSE)</f>
        <v>#N/A</v>
      </c>
      <c r="BI61" s="658"/>
      <c r="BJ61" s="658"/>
      <c r="BK61" s="658"/>
      <c r="BL61" s="658"/>
      <c r="BM61" s="658"/>
      <c r="BN61" s="658"/>
      <c r="BO61" s="675"/>
    </row>
    <row r="62" spans="1:67" s="494" customFormat="1"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IF(基本情報入力シート!AG90="","",基本情報入力シート!AG90)</f>
        <v/>
      </c>
      <c r="N62" s="569"/>
      <c r="O62" s="574" t="str">
        <f>IFERROR(VLOOKUP(K62,'【参考】数式用'!$A$2:$F$57,MATCH(N62,'【参考】数式用'!$C$3:$F$3,0)+2,0),"")</f>
        <v/>
      </c>
      <c r="P62" s="581" t="s">
        <v>543</v>
      </c>
      <c r="Q62" s="586"/>
      <c r="R62" s="588" t="s">
        <v>75</v>
      </c>
      <c r="S62" s="586"/>
      <c r="T62" s="588" t="s">
        <v>159</v>
      </c>
      <c r="U62" s="586"/>
      <c r="V62" s="588" t="s">
        <v>75</v>
      </c>
      <c r="W62" s="586"/>
      <c r="X62" s="588" t="s">
        <v>10</v>
      </c>
      <c r="Y62" s="588" t="s">
        <v>161</v>
      </c>
      <c r="Z62" s="588" t="str">
        <f t="shared" si="0"/>
        <v/>
      </c>
      <c r="AA62" s="592" t="s">
        <v>6</v>
      </c>
      <c r="AB62" s="597" t="str">
        <f t="shared" si="1"/>
        <v/>
      </c>
      <c r="AC62" s="602" t="str">
        <f>IFERROR(ROUNDDOWN(ROUNDDOWN(ROUND(L62*VLOOKUP(K62,'【参考】数式用'!$A$4:$F$57,MATCH("処遇改善加算Ⅳ",'【参考】数式用'!$C$3:$F$3,0)+2,0),0)*M62,0)*Z62*0.5,0),"")</f>
        <v/>
      </c>
      <c r="AD62" s="608"/>
      <c r="AE62" s="616"/>
      <c r="AF62" s="616"/>
      <c r="AG62" s="622"/>
      <c r="AH62" s="625"/>
      <c r="AI62" s="632"/>
      <c r="AJ62" s="632"/>
      <c r="AK62" s="647" t="str">
        <f t="shared" si="2"/>
        <v/>
      </c>
      <c r="AL62" s="650" t="str">
        <f t="shared" si="18"/>
        <v/>
      </c>
      <c r="AM62" s="653"/>
      <c r="AN62" s="656" t="str">
        <f>IFERROR(VLOOKUP(K62,'【参考】数式用'!$A$2:$N$57,14,FALSE),"")</f>
        <v/>
      </c>
      <c r="AO62" s="656" t="str">
        <f t="shared" si="3"/>
        <v/>
      </c>
      <c r="AP62" s="661" t="str">
        <f t="shared" si="4"/>
        <v/>
      </c>
      <c r="AQ62" s="661" t="str">
        <f t="shared" si="5"/>
        <v>入力済</v>
      </c>
      <c r="AR62" s="656" t="str">
        <f t="shared" si="6"/>
        <v/>
      </c>
      <c r="AS62" s="661" t="str">
        <f t="shared" si="7"/>
        <v>入力済</v>
      </c>
      <c r="AT62" s="661" t="str">
        <f t="shared" si="8"/>
        <v/>
      </c>
      <c r="AU62" s="661" t="str">
        <f t="shared" si="9"/>
        <v/>
      </c>
      <c r="AV62" s="656" t="str">
        <f t="shared" si="10"/>
        <v/>
      </c>
      <c r="AW62" s="656" t="str">
        <f t="shared" si="11"/>
        <v>入力済</v>
      </c>
      <c r="AX62" s="661" t="str">
        <f>IFERROR(VLOOKUP(K62,'【参考】数式用'!$AR$3:$AS$49,2,FALSE),"")</f>
        <v/>
      </c>
      <c r="AY62" s="656" t="str">
        <f t="shared" si="12"/>
        <v/>
      </c>
      <c r="AZ62" s="656" t="str">
        <f t="shared" si="19"/>
        <v>入力済</v>
      </c>
      <c r="BA62" s="661" t="str">
        <f>IFERROR(VLOOKUP(K62,'【参考】数式用'!$AX$3:$AY$56,2,FALSE),"")</f>
        <v/>
      </c>
      <c r="BB62" s="656" t="str">
        <f t="shared" si="14"/>
        <v/>
      </c>
      <c r="BC62" s="672" t="str">
        <f t="shared" si="15"/>
        <v>入力済</v>
      </c>
      <c r="BD62" s="656" t="str">
        <f t="shared" si="16"/>
        <v/>
      </c>
      <c r="BE62" s="656" t="str">
        <f t="shared" si="17"/>
        <v/>
      </c>
      <c r="BF62" s="658"/>
      <c r="BG62" s="658"/>
      <c r="BH62" s="680" t="e">
        <f>VLOOKUP(K62,'【参考】数式用'!$A$2:$O$57,15,FALSE)</f>
        <v>#N/A</v>
      </c>
      <c r="BI62" s="658"/>
      <c r="BJ62" s="658"/>
      <c r="BK62" s="658"/>
      <c r="BL62" s="658"/>
      <c r="BM62" s="658"/>
      <c r="BN62" s="658"/>
      <c r="BO62" s="675"/>
    </row>
    <row r="63" spans="1:67" s="494" customFormat="1"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IF(基本情報入力シート!AG91="","",基本情報入力シート!AG91)</f>
        <v/>
      </c>
      <c r="N63" s="569"/>
      <c r="O63" s="574" t="str">
        <f>IFERROR(VLOOKUP(K63,'【参考】数式用'!$A$2:$F$57,MATCH(N63,'【参考】数式用'!$C$3:$F$3,0)+2,0),"")</f>
        <v/>
      </c>
      <c r="P63" s="581" t="s">
        <v>543</v>
      </c>
      <c r="Q63" s="586"/>
      <c r="R63" s="588" t="s">
        <v>75</v>
      </c>
      <c r="S63" s="586"/>
      <c r="T63" s="588" t="s">
        <v>159</v>
      </c>
      <c r="U63" s="586"/>
      <c r="V63" s="588" t="s">
        <v>75</v>
      </c>
      <c r="W63" s="586"/>
      <c r="X63" s="588" t="s">
        <v>722</v>
      </c>
      <c r="Y63" s="588" t="s">
        <v>161</v>
      </c>
      <c r="Z63" s="588" t="str">
        <f t="shared" si="0"/>
        <v/>
      </c>
      <c r="AA63" s="592" t="s">
        <v>6</v>
      </c>
      <c r="AB63" s="597" t="str">
        <f t="shared" si="1"/>
        <v/>
      </c>
      <c r="AC63" s="602" t="str">
        <f>IFERROR(ROUNDDOWN(ROUNDDOWN(ROUND(L63*VLOOKUP(K63,'【参考】数式用'!$A$4:$F$57,MATCH("処遇改善加算Ⅳ",'【参考】数式用'!$C$3:$F$3,0)+2,0),0)*M63,0)*Z63*0.5,0),"")</f>
        <v/>
      </c>
      <c r="AD63" s="608"/>
      <c r="AE63" s="616"/>
      <c r="AF63" s="616"/>
      <c r="AG63" s="622"/>
      <c r="AH63" s="625"/>
      <c r="AI63" s="632"/>
      <c r="AJ63" s="632"/>
      <c r="AK63" s="647" t="str">
        <f t="shared" si="2"/>
        <v/>
      </c>
      <c r="AL63" s="650" t="str">
        <f t="shared" si="18"/>
        <v/>
      </c>
      <c r="AM63" s="653"/>
      <c r="AN63" s="656" t="str">
        <f>IFERROR(VLOOKUP(K63,'【参考】数式用'!$A$2:$N$57,14,FALSE),"")</f>
        <v/>
      </c>
      <c r="AO63" s="656" t="str">
        <f t="shared" si="3"/>
        <v/>
      </c>
      <c r="AP63" s="661" t="str">
        <f t="shared" si="4"/>
        <v/>
      </c>
      <c r="AQ63" s="661" t="str">
        <f t="shared" si="5"/>
        <v>入力済</v>
      </c>
      <c r="AR63" s="656" t="str">
        <f t="shared" si="6"/>
        <v/>
      </c>
      <c r="AS63" s="661" t="str">
        <f t="shared" si="7"/>
        <v>入力済</v>
      </c>
      <c r="AT63" s="661" t="str">
        <f t="shared" si="8"/>
        <v/>
      </c>
      <c r="AU63" s="661" t="str">
        <f t="shared" si="9"/>
        <v/>
      </c>
      <c r="AV63" s="656" t="str">
        <f t="shared" si="10"/>
        <v/>
      </c>
      <c r="AW63" s="656" t="str">
        <f t="shared" si="11"/>
        <v>入力済</v>
      </c>
      <c r="AX63" s="661" t="str">
        <f>IFERROR(VLOOKUP(K63,'【参考】数式用'!$AR$3:$AS$49,2,FALSE),"")</f>
        <v/>
      </c>
      <c r="AY63" s="656" t="str">
        <f t="shared" si="12"/>
        <v/>
      </c>
      <c r="AZ63" s="656" t="str">
        <f t="shared" si="19"/>
        <v>入力済</v>
      </c>
      <c r="BA63" s="661" t="str">
        <f>IFERROR(VLOOKUP(K63,'【参考】数式用'!$AX$3:$AY$56,2,FALSE),"")</f>
        <v/>
      </c>
      <c r="BB63" s="656" t="str">
        <f t="shared" si="14"/>
        <v/>
      </c>
      <c r="BC63" s="672" t="str">
        <f t="shared" si="15"/>
        <v>入力済</v>
      </c>
      <c r="BD63" s="656" t="str">
        <f t="shared" si="16"/>
        <v/>
      </c>
      <c r="BE63" s="656" t="str">
        <f t="shared" si="17"/>
        <v/>
      </c>
      <c r="BF63" s="658"/>
      <c r="BG63" s="658"/>
      <c r="BH63" s="680" t="e">
        <f>VLOOKUP(K63,'【参考】数式用'!$A$2:$O$57,15,FALSE)</f>
        <v>#N/A</v>
      </c>
      <c r="BI63" s="658"/>
      <c r="BJ63" s="658"/>
      <c r="BK63" s="658"/>
      <c r="BL63" s="658"/>
      <c r="BM63" s="658"/>
      <c r="BN63" s="658"/>
      <c r="BO63" s="675"/>
    </row>
    <row r="64" spans="1:67" s="494" customFormat="1"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IF(基本情報入力シート!AG92="","",基本情報入力シート!AG92)</f>
        <v/>
      </c>
      <c r="N64" s="569"/>
      <c r="O64" s="574" t="str">
        <f>IFERROR(VLOOKUP(K64,'【参考】数式用'!$A$2:$F$57,MATCH(N64,'【参考】数式用'!$C$3:$F$3,0)+2,0),"")</f>
        <v/>
      </c>
      <c r="P64" s="581" t="s">
        <v>543</v>
      </c>
      <c r="Q64" s="586"/>
      <c r="R64" s="588" t="s">
        <v>75</v>
      </c>
      <c r="S64" s="586"/>
      <c r="T64" s="588" t="s">
        <v>159</v>
      </c>
      <c r="U64" s="586"/>
      <c r="V64" s="588" t="s">
        <v>75</v>
      </c>
      <c r="W64" s="586"/>
      <c r="X64" s="588" t="s">
        <v>722</v>
      </c>
      <c r="Y64" s="588" t="s">
        <v>161</v>
      </c>
      <c r="Z64" s="588" t="str">
        <f t="shared" si="0"/>
        <v/>
      </c>
      <c r="AA64" s="592" t="s">
        <v>6</v>
      </c>
      <c r="AB64" s="597" t="str">
        <f t="shared" si="1"/>
        <v/>
      </c>
      <c r="AC64" s="602" t="str">
        <f>IFERROR(ROUNDDOWN(ROUNDDOWN(ROUND(L64*VLOOKUP(K64,'【参考】数式用'!$A$4:$F$57,MATCH("処遇改善加算Ⅳ",'【参考】数式用'!$C$3:$F$3,0)+2,0),0)*M64,0)*Z64*0.5,0),"")</f>
        <v/>
      </c>
      <c r="AD64" s="608"/>
      <c r="AE64" s="616"/>
      <c r="AF64" s="616"/>
      <c r="AG64" s="622"/>
      <c r="AH64" s="625"/>
      <c r="AI64" s="632"/>
      <c r="AJ64" s="632"/>
      <c r="AK64" s="647" t="str">
        <f t="shared" si="2"/>
        <v/>
      </c>
      <c r="AL64" s="650" t="str">
        <f t="shared" si="18"/>
        <v/>
      </c>
      <c r="AM64" s="653"/>
      <c r="AN64" s="656" t="str">
        <f>IFERROR(VLOOKUP(K64,'【参考】数式用'!$A$2:$N$57,14,FALSE),"")</f>
        <v/>
      </c>
      <c r="AO64" s="656" t="str">
        <f t="shared" si="3"/>
        <v/>
      </c>
      <c r="AP64" s="661" t="str">
        <f t="shared" si="4"/>
        <v/>
      </c>
      <c r="AQ64" s="661" t="str">
        <f t="shared" si="5"/>
        <v>入力済</v>
      </c>
      <c r="AR64" s="656" t="str">
        <f t="shared" si="6"/>
        <v/>
      </c>
      <c r="AS64" s="661" t="str">
        <f t="shared" si="7"/>
        <v>入力済</v>
      </c>
      <c r="AT64" s="661" t="str">
        <f t="shared" si="8"/>
        <v/>
      </c>
      <c r="AU64" s="661" t="str">
        <f t="shared" si="9"/>
        <v/>
      </c>
      <c r="AV64" s="656" t="str">
        <f t="shared" si="10"/>
        <v/>
      </c>
      <c r="AW64" s="656" t="str">
        <f t="shared" si="11"/>
        <v>入力済</v>
      </c>
      <c r="AX64" s="661" t="str">
        <f>IFERROR(VLOOKUP(K64,'【参考】数式用'!$AR$3:$AS$49,2,FALSE),"")</f>
        <v/>
      </c>
      <c r="AY64" s="656" t="str">
        <f t="shared" si="12"/>
        <v/>
      </c>
      <c r="AZ64" s="656" t="str">
        <f t="shared" si="19"/>
        <v>入力済</v>
      </c>
      <c r="BA64" s="661" t="str">
        <f>IFERROR(VLOOKUP(K64,'【参考】数式用'!$AX$3:$AY$56,2,FALSE),"")</f>
        <v/>
      </c>
      <c r="BB64" s="656" t="str">
        <f t="shared" si="14"/>
        <v/>
      </c>
      <c r="BC64" s="672" t="str">
        <f t="shared" si="15"/>
        <v>入力済</v>
      </c>
      <c r="BD64" s="656" t="str">
        <f t="shared" si="16"/>
        <v/>
      </c>
      <c r="BE64" s="656" t="str">
        <f t="shared" si="17"/>
        <v/>
      </c>
      <c r="BF64" s="658"/>
      <c r="BG64" s="658"/>
      <c r="BH64" s="680" t="e">
        <f>VLOOKUP(K64,'【参考】数式用'!$A$2:$O$57,15,FALSE)</f>
        <v>#N/A</v>
      </c>
      <c r="BI64" s="658"/>
      <c r="BJ64" s="658"/>
      <c r="BK64" s="658"/>
      <c r="BL64" s="658"/>
      <c r="BM64" s="658"/>
      <c r="BN64" s="658"/>
      <c r="BO64" s="675"/>
    </row>
    <row r="65" spans="1:67" s="494" customFormat="1"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IF(基本情報入力シート!AG93="","",基本情報入力シート!AG93)</f>
        <v/>
      </c>
      <c r="N65" s="569"/>
      <c r="O65" s="574" t="str">
        <f>IFERROR(VLOOKUP(K65,'【参考】数式用'!$A$2:$F$57,MATCH(N65,'【参考】数式用'!$C$3:$F$3,0)+2,0),"")</f>
        <v/>
      </c>
      <c r="P65" s="581" t="s">
        <v>543</v>
      </c>
      <c r="Q65" s="586"/>
      <c r="R65" s="588" t="s">
        <v>75</v>
      </c>
      <c r="S65" s="586"/>
      <c r="T65" s="588" t="s">
        <v>159</v>
      </c>
      <c r="U65" s="586"/>
      <c r="V65" s="588" t="s">
        <v>75</v>
      </c>
      <c r="W65" s="586"/>
      <c r="X65" s="588" t="s">
        <v>722</v>
      </c>
      <c r="Y65" s="588" t="s">
        <v>161</v>
      </c>
      <c r="Z65" s="588" t="str">
        <f t="shared" si="0"/>
        <v/>
      </c>
      <c r="AA65" s="592" t="s">
        <v>6</v>
      </c>
      <c r="AB65" s="597" t="str">
        <f t="shared" si="1"/>
        <v/>
      </c>
      <c r="AC65" s="602" t="str">
        <f>IFERROR(ROUNDDOWN(ROUNDDOWN(ROUND(L65*VLOOKUP(K65,'【参考】数式用'!$A$4:$F$57,MATCH("処遇改善加算Ⅳ",'【参考】数式用'!$C$3:$F$3,0)+2,0),0)*M65,0)*Z65*0.5,0),"")</f>
        <v/>
      </c>
      <c r="AD65" s="608"/>
      <c r="AE65" s="616"/>
      <c r="AF65" s="616"/>
      <c r="AG65" s="622"/>
      <c r="AH65" s="625"/>
      <c r="AI65" s="632"/>
      <c r="AJ65" s="632"/>
      <c r="AK65" s="647" t="str">
        <f t="shared" si="2"/>
        <v/>
      </c>
      <c r="AL65" s="650" t="str">
        <f t="shared" si="18"/>
        <v/>
      </c>
      <c r="AM65" s="653"/>
      <c r="AN65" s="656" t="str">
        <f>IFERROR(VLOOKUP(K65,'【参考】数式用'!$A$2:$N$57,14,FALSE),"")</f>
        <v/>
      </c>
      <c r="AO65" s="656" t="str">
        <f t="shared" si="3"/>
        <v/>
      </c>
      <c r="AP65" s="661" t="str">
        <f t="shared" si="4"/>
        <v/>
      </c>
      <c r="AQ65" s="661" t="str">
        <f t="shared" si="5"/>
        <v>入力済</v>
      </c>
      <c r="AR65" s="656" t="str">
        <f t="shared" si="6"/>
        <v/>
      </c>
      <c r="AS65" s="661" t="str">
        <f t="shared" si="7"/>
        <v>入力済</v>
      </c>
      <c r="AT65" s="661" t="str">
        <f t="shared" si="8"/>
        <v/>
      </c>
      <c r="AU65" s="661" t="str">
        <f t="shared" si="9"/>
        <v/>
      </c>
      <c r="AV65" s="656" t="str">
        <f t="shared" si="10"/>
        <v/>
      </c>
      <c r="AW65" s="656" t="str">
        <f t="shared" si="11"/>
        <v>入力済</v>
      </c>
      <c r="AX65" s="661" t="str">
        <f>IFERROR(VLOOKUP(K65,'【参考】数式用'!$AR$3:$AS$49,2,FALSE),"")</f>
        <v/>
      </c>
      <c r="AY65" s="656" t="str">
        <f t="shared" si="12"/>
        <v/>
      </c>
      <c r="AZ65" s="656" t="str">
        <f t="shared" si="19"/>
        <v>入力済</v>
      </c>
      <c r="BA65" s="661" t="str">
        <f>IFERROR(VLOOKUP(K65,'【参考】数式用'!$AX$3:$AY$56,2,FALSE),"")</f>
        <v/>
      </c>
      <c r="BB65" s="656" t="str">
        <f t="shared" si="14"/>
        <v/>
      </c>
      <c r="BC65" s="672" t="str">
        <f t="shared" si="15"/>
        <v>入力済</v>
      </c>
      <c r="BD65" s="656" t="str">
        <f t="shared" si="16"/>
        <v/>
      </c>
      <c r="BE65" s="656" t="str">
        <f t="shared" si="17"/>
        <v/>
      </c>
      <c r="BF65" s="658"/>
      <c r="BG65" s="658"/>
      <c r="BH65" s="680" t="e">
        <f>VLOOKUP(K65,'【参考】数式用'!$A$2:$O$57,15,FALSE)</f>
        <v>#N/A</v>
      </c>
      <c r="BI65" s="658"/>
      <c r="BJ65" s="658"/>
      <c r="BK65" s="658"/>
      <c r="BL65" s="658"/>
      <c r="BM65" s="658"/>
      <c r="BN65" s="658"/>
      <c r="BO65" s="675"/>
    </row>
    <row r="66" spans="1:67" s="494" customFormat="1"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IF(基本情報入力シート!AG94="","",基本情報入力シート!AG94)</f>
        <v/>
      </c>
      <c r="N66" s="569"/>
      <c r="O66" s="574" t="str">
        <f>IFERROR(VLOOKUP(K66,'【参考】数式用'!$A$2:$F$57,MATCH(N66,'【参考】数式用'!$C$3:$F$3,0)+2,0),"")</f>
        <v/>
      </c>
      <c r="P66" s="581" t="s">
        <v>543</v>
      </c>
      <c r="Q66" s="586"/>
      <c r="R66" s="588" t="s">
        <v>75</v>
      </c>
      <c r="S66" s="586"/>
      <c r="T66" s="588" t="s">
        <v>159</v>
      </c>
      <c r="U66" s="586"/>
      <c r="V66" s="588" t="s">
        <v>75</v>
      </c>
      <c r="W66" s="586"/>
      <c r="X66" s="588" t="s">
        <v>10</v>
      </c>
      <c r="Y66" s="588" t="s">
        <v>161</v>
      </c>
      <c r="Z66" s="588" t="str">
        <f t="shared" si="0"/>
        <v/>
      </c>
      <c r="AA66" s="592" t="s">
        <v>6</v>
      </c>
      <c r="AB66" s="597" t="str">
        <f t="shared" si="1"/>
        <v/>
      </c>
      <c r="AC66" s="602" t="str">
        <f>IFERROR(ROUNDDOWN(ROUNDDOWN(ROUND(L66*VLOOKUP(K66,'【参考】数式用'!$A$4:$F$57,MATCH("処遇改善加算Ⅳ",'【参考】数式用'!$C$3:$F$3,0)+2,0),0)*M66,0)*Z66*0.5,0),"")</f>
        <v/>
      </c>
      <c r="AD66" s="608"/>
      <c r="AE66" s="616"/>
      <c r="AF66" s="616"/>
      <c r="AG66" s="622"/>
      <c r="AH66" s="625"/>
      <c r="AI66" s="632"/>
      <c r="AJ66" s="632"/>
      <c r="AK66" s="647" t="str">
        <f t="shared" si="2"/>
        <v/>
      </c>
      <c r="AL66" s="650" t="str">
        <f t="shared" si="18"/>
        <v/>
      </c>
      <c r="AM66" s="653"/>
      <c r="AN66" s="656" t="str">
        <f>IFERROR(VLOOKUP(K66,'【参考】数式用'!$A$2:$N$57,14,FALSE),"")</f>
        <v/>
      </c>
      <c r="AO66" s="656" t="str">
        <f t="shared" si="3"/>
        <v/>
      </c>
      <c r="AP66" s="661" t="str">
        <f t="shared" si="4"/>
        <v/>
      </c>
      <c r="AQ66" s="661" t="str">
        <f t="shared" si="5"/>
        <v>入力済</v>
      </c>
      <c r="AR66" s="656" t="str">
        <f t="shared" si="6"/>
        <v/>
      </c>
      <c r="AS66" s="661" t="str">
        <f t="shared" si="7"/>
        <v>入力済</v>
      </c>
      <c r="AT66" s="661" t="str">
        <f t="shared" si="8"/>
        <v/>
      </c>
      <c r="AU66" s="661" t="str">
        <f t="shared" si="9"/>
        <v/>
      </c>
      <c r="AV66" s="656" t="str">
        <f t="shared" si="10"/>
        <v/>
      </c>
      <c r="AW66" s="656" t="str">
        <f t="shared" si="11"/>
        <v>入力済</v>
      </c>
      <c r="AX66" s="661" t="str">
        <f>IFERROR(VLOOKUP(K66,'【参考】数式用'!$AR$3:$AS$49,2,FALSE),"")</f>
        <v/>
      </c>
      <c r="AY66" s="656" t="str">
        <f t="shared" si="12"/>
        <v/>
      </c>
      <c r="AZ66" s="656" t="str">
        <f t="shared" si="19"/>
        <v>入力済</v>
      </c>
      <c r="BA66" s="661" t="str">
        <f>IFERROR(VLOOKUP(K66,'【参考】数式用'!$AX$3:$AY$56,2,FALSE),"")</f>
        <v/>
      </c>
      <c r="BB66" s="656" t="str">
        <f t="shared" si="14"/>
        <v/>
      </c>
      <c r="BC66" s="672" t="str">
        <f t="shared" si="15"/>
        <v>入力済</v>
      </c>
      <c r="BD66" s="656" t="str">
        <f t="shared" si="16"/>
        <v/>
      </c>
      <c r="BE66" s="656" t="str">
        <f t="shared" si="17"/>
        <v/>
      </c>
      <c r="BF66" s="658"/>
      <c r="BG66" s="658"/>
      <c r="BH66" s="680" t="e">
        <f>VLOOKUP(K66,'【参考】数式用'!$A$2:$O$57,15,FALSE)</f>
        <v>#N/A</v>
      </c>
      <c r="BI66" s="658"/>
      <c r="BJ66" s="658"/>
      <c r="BK66" s="658"/>
      <c r="BL66" s="658"/>
      <c r="BM66" s="658"/>
      <c r="BN66" s="658"/>
      <c r="BO66" s="675"/>
    </row>
    <row r="67" spans="1:67" s="494" customFormat="1"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IF(基本情報入力シート!AG95="","",基本情報入力シート!AG95)</f>
        <v/>
      </c>
      <c r="N67" s="569"/>
      <c r="O67" s="574" t="str">
        <f>IFERROR(VLOOKUP(K67,'【参考】数式用'!$A$2:$F$57,MATCH(N67,'【参考】数式用'!$C$3:$F$3,0)+2,0),"")</f>
        <v/>
      </c>
      <c r="P67" s="581" t="s">
        <v>543</v>
      </c>
      <c r="Q67" s="586"/>
      <c r="R67" s="588" t="s">
        <v>75</v>
      </c>
      <c r="S67" s="586"/>
      <c r="T67" s="588" t="s">
        <v>159</v>
      </c>
      <c r="U67" s="586"/>
      <c r="V67" s="588" t="s">
        <v>75</v>
      </c>
      <c r="W67" s="586"/>
      <c r="X67" s="588" t="s">
        <v>722</v>
      </c>
      <c r="Y67" s="588" t="s">
        <v>161</v>
      </c>
      <c r="Z67" s="588" t="str">
        <f t="shared" si="0"/>
        <v/>
      </c>
      <c r="AA67" s="592" t="s">
        <v>6</v>
      </c>
      <c r="AB67" s="597" t="str">
        <f t="shared" si="1"/>
        <v/>
      </c>
      <c r="AC67" s="602" t="str">
        <f>IFERROR(ROUNDDOWN(ROUNDDOWN(ROUND(L67*VLOOKUP(K67,'【参考】数式用'!$A$4:$F$57,MATCH("処遇改善加算Ⅳ",'【参考】数式用'!$C$3:$F$3,0)+2,0),0)*M67,0)*Z67*0.5,0),"")</f>
        <v/>
      </c>
      <c r="AD67" s="608"/>
      <c r="AE67" s="616"/>
      <c r="AF67" s="616"/>
      <c r="AG67" s="622"/>
      <c r="AH67" s="625"/>
      <c r="AI67" s="632"/>
      <c r="AJ67" s="632"/>
      <c r="AK67" s="647" t="str">
        <f t="shared" si="2"/>
        <v/>
      </c>
      <c r="AL67" s="650" t="str">
        <f t="shared" si="18"/>
        <v/>
      </c>
      <c r="AM67" s="653"/>
      <c r="AN67" s="656" t="str">
        <f>IFERROR(VLOOKUP(K67,'【参考】数式用'!$A$2:$N$57,14,FALSE),"")</f>
        <v/>
      </c>
      <c r="AO67" s="656" t="str">
        <f t="shared" si="3"/>
        <v/>
      </c>
      <c r="AP67" s="661" t="str">
        <f t="shared" si="4"/>
        <v/>
      </c>
      <c r="AQ67" s="661" t="str">
        <f t="shared" si="5"/>
        <v>入力済</v>
      </c>
      <c r="AR67" s="656" t="str">
        <f t="shared" si="6"/>
        <v/>
      </c>
      <c r="AS67" s="661" t="str">
        <f t="shared" si="7"/>
        <v>入力済</v>
      </c>
      <c r="AT67" s="661" t="str">
        <f t="shared" si="8"/>
        <v/>
      </c>
      <c r="AU67" s="661" t="str">
        <f t="shared" si="9"/>
        <v/>
      </c>
      <c r="AV67" s="656" t="str">
        <f t="shared" si="10"/>
        <v/>
      </c>
      <c r="AW67" s="656" t="str">
        <f t="shared" si="11"/>
        <v>入力済</v>
      </c>
      <c r="AX67" s="661" t="str">
        <f>IFERROR(VLOOKUP(K67,'【参考】数式用'!$AR$3:$AS$49,2,FALSE),"")</f>
        <v/>
      </c>
      <c r="AY67" s="656" t="str">
        <f t="shared" si="12"/>
        <v/>
      </c>
      <c r="AZ67" s="656" t="str">
        <f t="shared" si="19"/>
        <v>入力済</v>
      </c>
      <c r="BA67" s="661" t="str">
        <f>IFERROR(VLOOKUP(K67,'【参考】数式用'!$AX$3:$AY$56,2,FALSE),"")</f>
        <v/>
      </c>
      <c r="BB67" s="656" t="str">
        <f t="shared" si="14"/>
        <v/>
      </c>
      <c r="BC67" s="672" t="str">
        <f t="shared" si="15"/>
        <v>入力済</v>
      </c>
      <c r="BD67" s="656" t="str">
        <f t="shared" si="16"/>
        <v/>
      </c>
      <c r="BE67" s="656" t="str">
        <f t="shared" si="17"/>
        <v/>
      </c>
      <c r="BF67" s="658"/>
      <c r="BG67" s="658"/>
      <c r="BH67" s="680" t="e">
        <f>VLOOKUP(K67,'【参考】数式用'!$A$2:$O$57,15,FALSE)</f>
        <v>#N/A</v>
      </c>
      <c r="BI67" s="658"/>
      <c r="BJ67" s="658"/>
      <c r="BK67" s="658"/>
      <c r="BL67" s="658"/>
      <c r="BM67" s="658"/>
      <c r="BN67" s="658"/>
      <c r="BO67" s="675"/>
    </row>
    <row r="68" spans="1:67" s="494" customFormat="1"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IF(基本情報入力シート!AG96="","",基本情報入力シート!AG96)</f>
        <v/>
      </c>
      <c r="N68" s="569"/>
      <c r="O68" s="574" t="str">
        <f>IFERROR(VLOOKUP(K68,'【参考】数式用'!$A$2:$F$57,MATCH(N68,'【参考】数式用'!$C$3:$F$3,0)+2,0),"")</f>
        <v/>
      </c>
      <c r="P68" s="581" t="s">
        <v>543</v>
      </c>
      <c r="Q68" s="586"/>
      <c r="R68" s="588" t="s">
        <v>75</v>
      </c>
      <c r="S68" s="586"/>
      <c r="T68" s="588" t="s">
        <v>159</v>
      </c>
      <c r="U68" s="586"/>
      <c r="V68" s="588" t="s">
        <v>75</v>
      </c>
      <c r="W68" s="586"/>
      <c r="X68" s="588" t="s">
        <v>722</v>
      </c>
      <c r="Y68" s="588" t="s">
        <v>161</v>
      </c>
      <c r="Z68" s="588" t="str">
        <f t="shared" si="0"/>
        <v/>
      </c>
      <c r="AA68" s="592" t="s">
        <v>6</v>
      </c>
      <c r="AB68" s="597" t="str">
        <f t="shared" si="1"/>
        <v/>
      </c>
      <c r="AC68" s="602" t="str">
        <f>IFERROR(ROUNDDOWN(ROUNDDOWN(ROUND(L68*VLOOKUP(K68,'【参考】数式用'!$A$4:$F$57,MATCH("処遇改善加算Ⅳ",'【参考】数式用'!$C$3:$F$3,0)+2,0),0)*M68,0)*Z68*0.5,0),"")</f>
        <v/>
      </c>
      <c r="AD68" s="608"/>
      <c r="AE68" s="616"/>
      <c r="AF68" s="616"/>
      <c r="AG68" s="622"/>
      <c r="AH68" s="625"/>
      <c r="AI68" s="632"/>
      <c r="AJ68" s="632"/>
      <c r="AK68" s="647" t="str">
        <f t="shared" si="2"/>
        <v/>
      </c>
      <c r="AL68" s="650" t="str">
        <f t="shared" si="18"/>
        <v/>
      </c>
      <c r="AM68" s="653"/>
      <c r="AN68" s="656" t="str">
        <f>IFERROR(VLOOKUP(K68,'【参考】数式用'!$A$2:$N$57,14,FALSE),"")</f>
        <v/>
      </c>
      <c r="AO68" s="656" t="str">
        <f t="shared" si="3"/>
        <v/>
      </c>
      <c r="AP68" s="661" t="str">
        <f t="shared" si="4"/>
        <v/>
      </c>
      <c r="AQ68" s="661" t="str">
        <f t="shared" si="5"/>
        <v>入力済</v>
      </c>
      <c r="AR68" s="656" t="str">
        <f t="shared" si="6"/>
        <v/>
      </c>
      <c r="AS68" s="661" t="str">
        <f t="shared" si="7"/>
        <v>入力済</v>
      </c>
      <c r="AT68" s="661" t="str">
        <f t="shared" si="8"/>
        <v/>
      </c>
      <c r="AU68" s="661" t="str">
        <f t="shared" si="9"/>
        <v/>
      </c>
      <c r="AV68" s="656" t="str">
        <f t="shared" si="10"/>
        <v/>
      </c>
      <c r="AW68" s="656" t="str">
        <f t="shared" si="11"/>
        <v>入力済</v>
      </c>
      <c r="AX68" s="661" t="str">
        <f>IFERROR(VLOOKUP(K68,'【参考】数式用'!$AR$3:$AS$49,2,FALSE),"")</f>
        <v/>
      </c>
      <c r="AY68" s="656" t="str">
        <f t="shared" si="12"/>
        <v/>
      </c>
      <c r="AZ68" s="656" t="str">
        <f t="shared" si="19"/>
        <v>入力済</v>
      </c>
      <c r="BA68" s="661" t="str">
        <f>IFERROR(VLOOKUP(K68,'【参考】数式用'!$AX$3:$AY$56,2,FALSE),"")</f>
        <v/>
      </c>
      <c r="BB68" s="656" t="str">
        <f t="shared" si="14"/>
        <v/>
      </c>
      <c r="BC68" s="672" t="str">
        <f t="shared" si="15"/>
        <v>入力済</v>
      </c>
      <c r="BD68" s="656" t="str">
        <f t="shared" si="16"/>
        <v/>
      </c>
      <c r="BE68" s="656" t="str">
        <f t="shared" si="17"/>
        <v/>
      </c>
      <c r="BF68" s="658"/>
      <c r="BG68" s="658"/>
      <c r="BH68" s="680" t="e">
        <f>VLOOKUP(K68,'【参考】数式用'!$A$2:$O$57,15,FALSE)</f>
        <v>#N/A</v>
      </c>
      <c r="BI68" s="658"/>
      <c r="BJ68" s="658"/>
      <c r="BK68" s="658"/>
      <c r="BL68" s="658"/>
      <c r="BM68" s="658"/>
      <c r="BN68" s="658"/>
      <c r="BO68" s="675"/>
    </row>
    <row r="69" spans="1:67" s="494" customFormat="1"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IF(基本情報入力シート!AG97="","",基本情報入力シート!AG97)</f>
        <v/>
      </c>
      <c r="N69" s="569"/>
      <c r="O69" s="574" t="str">
        <f>IFERROR(VLOOKUP(K69,'【参考】数式用'!$A$2:$F$57,MATCH(N69,'【参考】数式用'!$C$3:$F$3,0)+2,0),"")</f>
        <v/>
      </c>
      <c r="P69" s="581" t="s">
        <v>543</v>
      </c>
      <c r="Q69" s="586"/>
      <c r="R69" s="588" t="s">
        <v>75</v>
      </c>
      <c r="S69" s="586"/>
      <c r="T69" s="588" t="s">
        <v>159</v>
      </c>
      <c r="U69" s="586"/>
      <c r="V69" s="588" t="s">
        <v>75</v>
      </c>
      <c r="W69" s="586"/>
      <c r="X69" s="588" t="s">
        <v>722</v>
      </c>
      <c r="Y69" s="588" t="s">
        <v>161</v>
      </c>
      <c r="Z69" s="588" t="str">
        <f t="shared" si="0"/>
        <v/>
      </c>
      <c r="AA69" s="592" t="s">
        <v>6</v>
      </c>
      <c r="AB69" s="597" t="str">
        <f t="shared" si="1"/>
        <v/>
      </c>
      <c r="AC69" s="602" t="str">
        <f>IFERROR(ROUNDDOWN(ROUNDDOWN(ROUND(L69*VLOOKUP(K69,'【参考】数式用'!$A$4:$F$57,MATCH("処遇改善加算Ⅳ",'【参考】数式用'!$C$3:$F$3,0)+2,0),0)*M69,0)*Z69*0.5,0),"")</f>
        <v/>
      </c>
      <c r="AD69" s="608"/>
      <c r="AE69" s="616"/>
      <c r="AF69" s="616"/>
      <c r="AG69" s="622"/>
      <c r="AH69" s="625"/>
      <c r="AI69" s="632"/>
      <c r="AJ69" s="632"/>
      <c r="AK69" s="647" t="str">
        <f t="shared" si="2"/>
        <v/>
      </c>
      <c r="AL69" s="650" t="str">
        <f t="shared" si="18"/>
        <v/>
      </c>
      <c r="AM69" s="653"/>
      <c r="AN69" s="656" t="str">
        <f>IFERROR(VLOOKUP(K69,'【参考】数式用'!$A$2:$N$57,14,FALSE),"")</f>
        <v/>
      </c>
      <c r="AO69" s="656" t="str">
        <f t="shared" si="3"/>
        <v/>
      </c>
      <c r="AP69" s="661" t="str">
        <f t="shared" si="4"/>
        <v/>
      </c>
      <c r="AQ69" s="661" t="str">
        <f t="shared" si="5"/>
        <v>入力済</v>
      </c>
      <c r="AR69" s="656" t="str">
        <f t="shared" si="6"/>
        <v/>
      </c>
      <c r="AS69" s="661" t="str">
        <f t="shared" si="7"/>
        <v>入力済</v>
      </c>
      <c r="AT69" s="661" t="str">
        <f t="shared" si="8"/>
        <v/>
      </c>
      <c r="AU69" s="661" t="str">
        <f t="shared" si="9"/>
        <v/>
      </c>
      <c r="AV69" s="656" t="str">
        <f t="shared" si="10"/>
        <v/>
      </c>
      <c r="AW69" s="656" t="str">
        <f t="shared" si="11"/>
        <v>入力済</v>
      </c>
      <c r="AX69" s="661" t="str">
        <f>IFERROR(VLOOKUP(K69,'【参考】数式用'!$AR$3:$AS$49,2,FALSE),"")</f>
        <v/>
      </c>
      <c r="AY69" s="656" t="str">
        <f t="shared" si="12"/>
        <v/>
      </c>
      <c r="AZ69" s="656" t="str">
        <f t="shared" si="19"/>
        <v>入力済</v>
      </c>
      <c r="BA69" s="661" t="str">
        <f>IFERROR(VLOOKUP(K69,'【参考】数式用'!$AX$3:$AY$56,2,FALSE),"")</f>
        <v/>
      </c>
      <c r="BB69" s="656" t="str">
        <f t="shared" si="14"/>
        <v/>
      </c>
      <c r="BC69" s="672" t="str">
        <f t="shared" si="15"/>
        <v>入力済</v>
      </c>
      <c r="BD69" s="656" t="str">
        <f t="shared" si="16"/>
        <v/>
      </c>
      <c r="BE69" s="656" t="str">
        <f t="shared" si="17"/>
        <v/>
      </c>
      <c r="BF69" s="658"/>
      <c r="BG69" s="658"/>
      <c r="BH69" s="680" t="e">
        <f>VLOOKUP(K69,'【参考】数式用'!$A$2:$O$57,15,FALSE)</f>
        <v>#N/A</v>
      </c>
      <c r="BI69" s="658"/>
      <c r="BJ69" s="658"/>
      <c r="BK69" s="658"/>
      <c r="BL69" s="658"/>
      <c r="BM69" s="658"/>
      <c r="BN69" s="658"/>
      <c r="BO69" s="675"/>
    </row>
    <row r="70" spans="1:67" s="494" customFormat="1"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IF(基本情報入力シート!AG98="","",基本情報入力シート!AG98)</f>
        <v/>
      </c>
      <c r="N70" s="569"/>
      <c r="O70" s="574" t="str">
        <f>IFERROR(VLOOKUP(K70,'【参考】数式用'!$A$2:$F$57,MATCH(N70,'【参考】数式用'!$C$3:$F$3,0)+2,0),"")</f>
        <v/>
      </c>
      <c r="P70" s="581" t="s">
        <v>543</v>
      </c>
      <c r="Q70" s="586"/>
      <c r="R70" s="588" t="s">
        <v>75</v>
      </c>
      <c r="S70" s="586"/>
      <c r="T70" s="588" t="s">
        <v>159</v>
      </c>
      <c r="U70" s="586"/>
      <c r="V70" s="588" t="s">
        <v>75</v>
      </c>
      <c r="W70" s="586"/>
      <c r="X70" s="588" t="s">
        <v>10</v>
      </c>
      <c r="Y70" s="588" t="s">
        <v>161</v>
      </c>
      <c r="Z70" s="588" t="str">
        <f t="shared" si="0"/>
        <v/>
      </c>
      <c r="AA70" s="592" t="s">
        <v>6</v>
      </c>
      <c r="AB70" s="597" t="str">
        <f t="shared" si="1"/>
        <v/>
      </c>
      <c r="AC70" s="602" t="str">
        <f>IFERROR(ROUNDDOWN(ROUNDDOWN(ROUND(L70*VLOOKUP(K70,'【参考】数式用'!$A$4:$F$57,MATCH("処遇改善加算Ⅳ",'【参考】数式用'!$C$3:$F$3,0)+2,0),0)*M70,0)*Z70*0.5,0),"")</f>
        <v/>
      </c>
      <c r="AD70" s="608"/>
      <c r="AE70" s="616"/>
      <c r="AF70" s="616"/>
      <c r="AG70" s="622"/>
      <c r="AH70" s="625"/>
      <c r="AI70" s="632"/>
      <c r="AJ70" s="632"/>
      <c r="AK70" s="647" t="str">
        <f t="shared" si="2"/>
        <v/>
      </c>
      <c r="AL70" s="650" t="str">
        <f t="shared" si="18"/>
        <v/>
      </c>
      <c r="AM70" s="653"/>
      <c r="AN70" s="656" t="str">
        <f>IFERROR(VLOOKUP(K70,'【参考】数式用'!$A$2:$N$57,14,FALSE),"")</f>
        <v/>
      </c>
      <c r="AO70" s="656" t="str">
        <f t="shared" si="3"/>
        <v/>
      </c>
      <c r="AP70" s="661" t="str">
        <f t="shared" si="4"/>
        <v/>
      </c>
      <c r="AQ70" s="661" t="str">
        <f t="shared" si="5"/>
        <v>入力済</v>
      </c>
      <c r="AR70" s="656" t="str">
        <f t="shared" si="6"/>
        <v/>
      </c>
      <c r="AS70" s="661" t="str">
        <f t="shared" si="7"/>
        <v>入力済</v>
      </c>
      <c r="AT70" s="661" t="str">
        <f t="shared" si="8"/>
        <v/>
      </c>
      <c r="AU70" s="661" t="str">
        <f t="shared" si="9"/>
        <v/>
      </c>
      <c r="AV70" s="656" t="str">
        <f t="shared" si="10"/>
        <v/>
      </c>
      <c r="AW70" s="656" t="str">
        <f t="shared" si="11"/>
        <v>入力済</v>
      </c>
      <c r="AX70" s="661" t="str">
        <f>IFERROR(VLOOKUP(K70,'【参考】数式用'!$AR$3:$AS$49,2,FALSE),"")</f>
        <v/>
      </c>
      <c r="AY70" s="656" t="str">
        <f t="shared" si="12"/>
        <v/>
      </c>
      <c r="AZ70" s="656" t="str">
        <f t="shared" si="19"/>
        <v>入力済</v>
      </c>
      <c r="BA70" s="661" t="str">
        <f>IFERROR(VLOOKUP(K70,'【参考】数式用'!$AX$3:$AY$56,2,FALSE),"")</f>
        <v/>
      </c>
      <c r="BB70" s="656" t="str">
        <f t="shared" si="14"/>
        <v/>
      </c>
      <c r="BC70" s="672" t="str">
        <f t="shared" si="15"/>
        <v>入力済</v>
      </c>
      <c r="BD70" s="656" t="str">
        <f t="shared" si="16"/>
        <v/>
      </c>
      <c r="BE70" s="656" t="str">
        <f t="shared" si="17"/>
        <v/>
      </c>
      <c r="BF70" s="658"/>
      <c r="BG70" s="658"/>
      <c r="BH70" s="680" t="e">
        <f>VLOOKUP(K70,'【参考】数式用'!$A$2:$O$57,15,FALSE)</f>
        <v>#N/A</v>
      </c>
      <c r="BI70" s="658"/>
      <c r="BJ70" s="658"/>
      <c r="BK70" s="658"/>
      <c r="BL70" s="658"/>
      <c r="BM70" s="658"/>
      <c r="BN70" s="658"/>
      <c r="BO70" s="675"/>
    </row>
    <row r="71" spans="1:67" s="494" customFormat="1"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IF(基本情報入力シート!AG99="","",基本情報入力シート!AG99)</f>
        <v/>
      </c>
      <c r="N71" s="569"/>
      <c r="O71" s="574" t="str">
        <f>IFERROR(VLOOKUP(K71,'【参考】数式用'!$A$2:$F$57,MATCH(N71,'【参考】数式用'!$C$3:$F$3,0)+2,0),"")</f>
        <v/>
      </c>
      <c r="P71" s="581" t="s">
        <v>543</v>
      </c>
      <c r="Q71" s="586"/>
      <c r="R71" s="588" t="s">
        <v>75</v>
      </c>
      <c r="S71" s="586"/>
      <c r="T71" s="588" t="s">
        <v>159</v>
      </c>
      <c r="U71" s="586"/>
      <c r="V71" s="588" t="s">
        <v>75</v>
      </c>
      <c r="W71" s="586"/>
      <c r="X71" s="588" t="s">
        <v>10</v>
      </c>
      <c r="Y71" s="588" t="s">
        <v>161</v>
      </c>
      <c r="Z71" s="588" t="str">
        <f t="shared" si="0"/>
        <v/>
      </c>
      <c r="AA71" s="592" t="s">
        <v>6</v>
      </c>
      <c r="AB71" s="597" t="str">
        <f t="shared" si="1"/>
        <v/>
      </c>
      <c r="AC71" s="602" t="str">
        <f>IFERROR(ROUNDDOWN(ROUNDDOWN(ROUND(L71*VLOOKUP(K71,'【参考】数式用'!$A$4:$F$57,MATCH("処遇改善加算Ⅳ",'【参考】数式用'!$C$3:$F$3,0)+2,0),0)*M71,0)*Z71*0.5,0),"")</f>
        <v/>
      </c>
      <c r="AD71" s="608"/>
      <c r="AE71" s="616"/>
      <c r="AF71" s="616"/>
      <c r="AG71" s="622"/>
      <c r="AH71" s="625"/>
      <c r="AI71" s="632"/>
      <c r="AJ71" s="632"/>
      <c r="AK71" s="647" t="str">
        <f t="shared" si="2"/>
        <v/>
      </c>
      <c r="AL71" s="650" t="str">
        <f t="shared" si="18"/>
        <v/>
      </c>
      <c r="AM71" s="653"/>
      <c r="AN71" s="656" t="str">
        <f>IFERROR(VLOOKUP(K71,'【参考】数式用'!$A$2:$N$57,14,FALSE),"")</f>
        <v/>
      </c>
      <c r="AO71" s="656" t="str">
        <f t="shared" si="3"/>
        <v/>
      </c>
      <c r="AP71" s="661" t="str">
        <f t="shared" si="4"/>
        <v/>
      </c>
      <c r="AQ71" s="661" t="str">
        <f t="shared" si="5"/>
        <v>入力済</v>
      </c>
      <c r="AR71" s="656" t="str">
        <f t="shared" si="6"/>
        <v/>
      </c>
      <c r="AS71" s="661" t="str">
        <f t="shared" si="7"/>
        <v>入力済</v>
      </c>
      <c r="AT71" s="661" t="str">
        <f t="shared" si="8"/>
        <v/>
      </c>
      <c r="AU71" s="661" t="str">
        <f t="shared" si="9"/>
        <v/>
      </c>
      <c r="AV71" s="656" t="str">
        <f t="shared" si="10"/>
        <v/>
      </c>
      <c r="AW71" s="656" t="str">
        <f t="shared" si="11"/>
        <v>入力済</v>
      </c>
      <c r="AX71" s="661" t="str">
        <f>IFERROR(VLOOKUP(K71,'【参考】数式用'!$AR$3:$AS$49,2,FALSE),"")</f>
        <v/>
      </c>
      <c r="AY71" s="656" t="str">
        <f t="shared" si="12"/>
        <v/>
      </c>
      <c r="AZ71" s="656" t="str">
        <f t="shared" si="19"/>
        <v>入力済</v>
      </c>
      <c r="BA71" s="661" t="str">
        <f>IFERROR(VLOOKUP(K71,'【参考】数式用'!$AX$3:$AY$56,2,FALSE),"")</f>
        <v/>
      </c>
      <c r="BB71" s="656" t="str">
        <f t="shared" si="14"/>
        <v/>
      </c>
      <c r="BC71" s="672" t="str">
        <f t="shared" si="15"/>
        <v>入力済</v>
      </c>
      <c r="BD71" s="656" t="str">
        <f t="shared" si="16"/>
        <v/>
      </c>
      <c r="BE71" s="656" t="str">
        <f t="shared" si="17"/>
        <v/>
      </c>
      <c r="BF71" s="658"/>
      <c r="BG71" s="658"/>
      <c r="BH71" s="680" t="e">
        <f>VLOOKUP(K71,'【参考】数式用'!$A$2:$O$57,15,FALSE)</f>
        <v>#N/A</v>
      </c>
      <c r="BI71" s="658"/>
      <c r="BJ71" s="658"/>
      <c r="BK71" s="658"/>
      <c r="BL71" s="658"/>
      <c r="BM71" s="658"/>
      <c r="BN71" s="658"/>
      <c r="BO71" s="675"/>
    </row>
    <row r="72" spans="1:67" s="494" customFormat="1"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IF(基本情報入力シート!AG100="","",基本情報入力シート!AG100)</f>
        <v/>
      </c>
      <c r="N72" s="569"/>
      <c r="O72" s="574" t="str">
        <f>IFERROR(VLOOKUP(K72,'【参考】数式用'!$A$2:$F$57,MATCH(N72,'【参考】数式用'!$C$3:$F$3,0)+2,0),"")</f>
        <v/>
      </c>
      <c r="P72" s="581" t="s">
        <v>543</v>
      </c>
      <c r="Q72" s="586"/>
      <c r="R72" s="588" t="s">
        <v>75</v>
      </c>
      <c r="S72" s="586"/>
      <c r="T72" s="588" t="s">
        <v>159</v>
      </c>
      <c r="U72" s="586"/>
      <c r="V72" s="588" t="s">
        <v>75</v>
      </c>
      <c r="W72" s="586"/>
      <c r="X72" s="588" t="s">
        <v>722</v>
      </c>
      <c r="Y72" s="588" t="s">
        <v>161</v>
      </c>
      <c r="Z72" s="588" t="str">
        <f t="shared" si="0"/>
        <v/>
      </c>
      <c r="AA72" s="592" t="s">
        <v>6</v>
      </c>
      <c r="AB72" s="597" t="str">
        <f t="shared" si="1"/>
        <v/>
      </c>
      <c r="AC72" s="602" t="str">
        <f>IFERROR(ROUNDDOWN(ROUNDDOWN(ROUND(L72*VLOOKUP(K72,'【参考】数式用'!$A$4:$F$57,MATCH("処遇改善加算Ⅳ",'【参考】数式用'!$C$3:$F$3,0)+2,0),0)*M72,0)*Z72*0.5,0),"")</f>
        <v/>
      </c>
      <c r="AD72" s="608"/>
      <c r="AE72" s="616"/>
      <c r="AF72" s="616"/>
      <c r="AG72" s="622"/>
      <c r="AH72" s="625"/>
      <c r="AI72" s="632"/>
      <c r="AJ72" s="632"/>
      <c r="AK72" s="647" t="str">
        <f t="shared" si="2"/>
        <v/>
      </c>
      <c r="AL72" s="650" t="str">
        <f t="shared" si="18"/>
        <v/>
      </c>
      <c r="AM72" s="653"/>
      <c r="AN72" s="656" t="str">
        <f>IFERROR(VLOOKUP(K72,'【参考】数式用'!$A$2:$N$57,14,FALSE),"")</f>
        <v/>
      </c>
      <c r="AO72" s="656" t="str">
        <f t="shared" si="3"/>
        <v/>
      </c>
      <c r="AP72" s="661" t="str">
        <f t="shared" si="4"/>
        <v/>
      </c>
      <c r="AQ72" s="661" t="str">
        <f t="shared" si="5"/>
        <v>入力済</v>
      </c>
      <c r="AR72" s="656" t="str">
        <f t="shared" si="6"/>
        <v/>
      </c>
      <c r="AS72" s="661" t="str">
        <f t="shared" si="7"/>
        <v>入力済</v>
      </c>
      <c r="AT72" s="661" t="str">
        <f t="shared" si="8"/>
        <v/>
      </c>
      <c r="AU72" s="661" t="str">
        <f t="shared" si="9"/>
        <v/>
      </c>
      <c r="AV72" s="656" t="str">
        <f t="shared" si="10"/>
        <v/>
      </c>
      <c r="AW72" s="656" t="str">
        <f t="shared" si="11"/>
        <v>入力済</v>
      </c>
      <c r="AX72" s="661" t="str">
        <f>IFERROR(VLOOKUP(K72,'【参考】数式用'!$AR$3:$AS$49,2,FALSE),"")</f>
        <v/>
      </c>
      <c r="AY72" s="656" t="str">
        <f t="shared" si="12"/>
        <v/>
      </c>
      <c r="AZ72" s="656" t="str">
        <f t="shared" si="19"/>
        <v>入力済</v>
      </c>
      <c r="BA72" s="661" t="str">
        <f>IFERROR(VLOOKUP(K72,'【参考】数式用'!$AX$3:$AY$56,2,FALSE),"")</f>
        <v/>
      </c>
      <c r="BB72" s="656" t="str">
        <f t="shared" si="14"/>
        <v/>
      </c>
      <c r="BC72" s="672" t="str">
        <f t="shared" si="15"/>
        <v>入力済</v>
      </c>
      <c r="BD72" s="656" t="str">
        <f t="shared" si="16"/>
        <v/>
      </c>
      <c r="BE72" s="656" t="str">
        <f t="shared" si="17"/>
        <v/>
      </c>
      <c r="BF72" s="658"/>
      <c r="BG72" s="658"/>
      <c r="BH72" s="680" t="e">
        <f>VLOOKUP(K72,'【参考】数式用'!$A$2:$O$57,15,FALSE)</f>
        <v>#N/A</v>
      </c>
      <c r="BI72" s="658"/>
      <c r="BJ72" s="658"/>
      <c r="BK72" s="658"/>
      <c r="BL72" s="658"/>
      <c r="BM72" s="658"/>
      <c r="BN72" s="658"/>
      <c r="BO72" s="675"/>
    </row>
    <row r="73" spans="1:67" s="494" customFormat="1"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IF(基本情報入力シート!AG101="","",基本情報入力シート!AG101)</f>
        <v/>
      </c>
      <c r="N73" s="569"/>
      <c r="O73" s="574" t="str">
        <f>IFERROR(VLOOKUP(K73,'【参考】数式用'!$A$2:$F$57,MATCH(N73,'【参考】数式用'!$C$3:$F$3,0)+2,0),"")</f>
        <v/>
      </c>
      <c r="P73" s="581" t="s">
        <v>543</v>
      </c>
      <c r="Q73" s="586"/>
      <c r="R73" s="588" t="s">
        <v>75</v>
      </c>
      <c r="S73" s="586"/>
      <c r="T73" s="588" t="s">
        <v>159</v>
      </c>
      <c r="U73" s="586"/>
      <c r="V73" s="588" t="s">
        <v>75</v>
      </c>
      <c r="W73" s="586"/>
      <c r="X73" s="588" t="s">
        <v>722</v>
      </c>
      <c r="Y73" s="588" t="s">
        <v>161</v>
      </c>
      <c r="Z73" s="588" t="str">
        <f t="shared" si="0"/>
        <v/>
      </c>
      <c r="AA73" s="592" t="s">
        <v>6</v>
      </c>
      <c r="AB73" s="597" t="str">
        <f t="shared" si="1"/>
        <v/>
      </c>
      <c r="AC73" s="602" t="str">
        <f>IFERROR(ROUNDDOWN(ROUNDDOWN(ROUND(L73*VLOOKUP(K73,'【参考】数式用'!$A$4:$F$57,MATCH("処遇改善加算Ⅳ",'【参考】数式用'!$C$3:$F$3,0)+2,0),0)*M73,0)*Z73*0.5,0),"")</f>
        <v/>
      </c>
      <c r="AD73" s="608"/>
      <c r="AE73" s="616"/>
      <c r="AF73" s="616"/>
      <c r="AG73" s="622"/>
      <c r="AH73" s="625"/>
      <c r="AI73" s="632"/>
      <c r="AJ73" s="632"/>
      <c r="AK73" s="647" t="str">
        <f t="shared" si="2"/>
        <v/>
      </c>
      <c r="AL73" s="650" t="str">
        <f t="shared" si="18"/>
        <v/>
      </c>
      <c r="AM73" s="653"/>
      <c r="AN73" s="656" t="str">
        <f>IFERROR(VLOOKUP(K73,'【参考】数式用'!$A$2:$N$57,14,FALSE),"")</f>
        <v/>
      </c>
      <c r="AO73" s="656" t="str">
        <f t="shared" si="3"/>
        <v/>
      </c>
      <c r="AP73" s="661" t="str">
        <f t="shared" si="4"/>
        <v/>
      </c>
      <c r="AQ73" s="661" t="str">
        <f t="shared" si="5"/>
        <v>入力済</v>
      </c>
      <c r="AR73" s="656" t="str">
        <f t="shared" si="6"/>
        <v/>
      </c>
      <c r="AS73" s="661" t="str">
        <f t="shared" si="7"/>
        <v>入力済</v>
      </c>
      <c r="AT73" s="661" t="str">
        <f t="shared" si="8"/>
        <v/>
      </c>
      <c r="AU73" s="661" t="str">
        <f t="shared" si="9"/>
        <v/>
      </c>
      <c r="AV73" s="656" t="str">
        <f t="shared" si="10"/>
        <v/>
      </c>
      <c r="AW73" s="656" t="str">
        <f t="shared" si="11"/>
        <v>入力済</v>
      </c>
      <c r="AX73" s="661" t="str">
        <f>IFERROR(VLOOKUP(K73,'【参考】数式用'!$AR$3:$AS$49,2,FALSE),"")</f>
        <v/>
      </c>
      <c r="AY73" s="656" t="str">
        <f t="shared" si="12"/>
        <v/>
      </c>
      <c r="AZ73" s="656" t="str">
        <f t="shared" si="19"/>
        <v>入力済</v>
      </c>
      <c r="BA73" s="661" t="str">
        <f>IFERROR(VLOOKUP(K73,'【参考】数式用'!$AX$3:$AY$56,2,FALSE),"")</f>
        <v/>
      </c>
      <c r="BB73" s="656" t="str">
        <f t="shared" si="14"/>
        <v/>
      </c>
      <c r="BC73" s="672" t="str">
        <f t="shared" si="15"/>
        <v>入力済</v>
      </c>
      <c r="BD73" s="656" t="str">
        <f t="shared" si="16"/>
        <v/>
      </c>
      <c r="BE73" s="656" t="str">
        <f t="shared" si="17"/>
        <v/>
      </c>
      <c r="BF73" s="658"/>
      <c r="BG73" s="658"/>
      <c r="BH73" s="680" t="e">
        <f>VLOOKUP(K73,'【参考】数式用'!$A$2:$O$57,15,FALSE)</f>
        <v>#N/A</v>
      </c>
      <c r="BI73" s="658"/>
      <c r="BJ73" s="658"/>
      <c r="BK73" s="658"/>
      <c r="BL73" s="658"/>
      <c r="BM73" s="658"/>
      <c r="BN73" s="658"/>
      <c r="BO73" s="675"/>
    </row>
    <row r="74" spans="1:67" s="494" customFormat="1"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IF(基本情報入力シート!AG102="","",基本情報入力シート!AG102)</f>
        <v/>
      </c>
      <c r="N74" s="569"/>
      <c r="O74" s="574" t="str">
        <f>IFERROR(VLOOKUP(K74,'【参考】数式用'!$A$2:$F$57,MATCH(N74,'【参考】数式用'!$C$3:$F$3,0)+2,0),"")</f>
        <v/>
      </c>
      <c r="P74" s="581" t="s">
        <v>543</v>
      </c>
      <c r="Q74" s="586"/>
      <c r="R74" s="588" t="s">
        <v>75</v>
      </c>
      <c r="S74" s="586"/>
      <c r="T74" s="588" t="s">
        <v>159</v>
      </c>
      <c r="U74" s="586"/>
      <c r="V74" s="588" t="s">
        <v>75</v>
      </c>
      <c r="W74" s="586"/>
      <c r="X74" s="588" t="s">
        <v>722</v>
      </c>
      <c r="Y74" s="588" t="s">
        <v>161</v>
      </c>
      <c r="Z74" s="588" t="str">
        <f t="shared" si="0"/>
        <v/>
      </c>
      <c r="AA74" s="592" t="s">
        <v>6</v>
      </c>
      <c r="AB74" s="597" t="str">
        <f t="shared" si="1"/>
        <v/>
      </c>
      <c r="AC74" s="602" t="str">
        <f>IFERROR(ROUNDDOWN(ROUNDDOWN(ROUND(L74*VLOOKUP(K74,'【参考】数式用'!$A$4:$F$57,MATCH("処遇改善加算Ⅳ",'【参考】数式用'!$C$3:$F$3,0)+2,0),0)*M74,0)*Z74*0.5,0),"")</f>
        <v/>
      </c>
      <c r="AD74" s="608"/>
      <c r="AE74" s="616"/>
      <c r="AF74" s="616"/>
      <c r="AG74" s="622"/>
      <c r="AH74" s="625"/>
      <c r="AI74" s="632"/>
      <c r="AJ74" s="632"/>
      <c r="AK74" s="647" t="str">
        <f t="shared" si="2"/>
        <v/>
      </c>
      <c r="AL74" s="650" t="str">
        <f t="shared" si="18"/>
        <v/>
      </c>
      <c r="AM74" s="653"/>
      <c r="AN74" s="656" t="str">
        <f>IFERROR(VLOOKUP(K74,'【参考】数式用'!$A$2:$N$57,14,FALSE),"")</f>
        <v/>
      </c>
      <c r="AO74" s="656" t="str">
        <f t="shared" si="3"/>
        <v/>
      </c>
      <c r="AP74" s="661" t="str">
        <f t="shared" si="4"/>
        <v/>
      </c>
      <c r="AQ74" s="661" t="str">
        <f t="shared" si="5"/>
        <v>入力済</v>
      </c>
      <c r="AR74" s="656" t="str">
        <f t="shared" si="6"/>
        <v/>
      </c>
      <c r="AS74" s="661" t="str">
        <f t="shared" si="7"/>
        <v>入力済</v>
      </c>
      <c r="AT74" s="661" t="str">
        <f t="shared" si="8"/>
        <v/>
      </c>
      <c r="AU74" s="661" t="str">
        <f t="shared" si="9"/>
        <v/>
      </c>
      <c r="AV74" s="656" t="str">
        <f t="shared" si="10"/>
        <v/>
      </c>
      <c r="AW74" s="656" t="str">
        <f t="shared" si="11"/>
        <v>入力済</v>
      </c>
      <c r="AX74" s="661" t="str">
        <f>IFERROR(VLOOKUP(K74,'【参考】数式用'!$AR$3:$AS$49,2,FALSE),"")</f>
        <v/>
      </c>
      <c r="AY74" s="656" t="str">
        <f t="shared" si="12"/>
        <v/>
      </c>
      <c r="AZ74" s="656" t="str">
        <f t="shared" si="19"/>
        <v>入力済</v>
      </c>
      <c r="BA74" s="661" t="str">
        <f>IFERROR(VLOOKUP(K74,'【参考】数式用'!$AX$3:$AY$56,2,FALSE),"")</f>
        <v/>
      </c>
      <c r="BB74" s="656" t="str">
        <f t="shared" si="14"/>
        <v/>
      </c>
      <c r="BC74" s="672" t="str">
        <f t="shared" si="15"/>
        <v>入力済</v>
      </c>
      <c r="BD74" s="656" t="str">
        <f t="shared" si="16"/>
        <v/>
      </c>
      <c r="BE74" s="656" t="str">
        <f t="shared" si="17"/>
        <v/>
      </c>
      <c r="BF74" s="658"/>
      <c r="BG74" s="658"/>
      <c r="BH74" s="680" t="e">
        <f>VLOOKUP(K74,'【参考】数式用'!$A$2:$O$57,15,FALSE)</f>
        <v>#N/A</v>
      </c>
      <c r="BI74" s="658"/>
      <c r="BJ74" s="658"/>
      <c r="BK74" s="658"/>
      <c r="BL74" s="658"/>
      <c r="BM74" s="658"/>
      <c r="BN74" s="658"/>
      <c r="BO74" s="675"/>
    </row>
    <row r="75" spans="1:67" s="494" customFormat="1"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IF(基本情報入力シート!AG103="","",基本情報入力シート!AG103)</f>
        <v/>
      </c>
      <c r="N75" s="569"/>
      <c r="O75" s="574" t="str">
        <f>IFERROR(VLOOKUP(K75,'【参考】数式用'!$A$2:$F$57,MATCH(N75,'【参考】数式用'!$C$3:$F$3,0)+2,0),"")</f>
        <v/>
      </c>
      <c r="P75" s="581" t="s">
        <v>543</v>
      </c>
      <c r="Q75" s="586"/>
      <c r="R75" s="588" t="s">
        <v>75</v>
      </c>
      <c r="S75" s="586"/>
      <c r="T75" s="588" t="s">
        <v>159</v>
      </c>
      <c r="U75" s="586"/>
      <c r="V75" s="588" t="s">
        <v>75</v>
      </c>
      <c r="W75" s="586"/>
      <c r="X75" s="588" t="s">
        <v>10</v>
      </c>
      <c r="Y75" s="588" t="s">
        <v>161</v>
      </c>
      <c r="Z75" s="588" t="str">
        <f t="shared" si="0"/>
        <v/>
      </c>
      <c r="AA75" s="592" t="s">
        <v>6</v>
      </c>
      <c r="AB75" s="597" t="str">
        <f t="shared" si="1"/>
        <v/>
      </c>
      <c r="AC75" s="602" t="str">
        <f>IFERROR(ROUNDDOWN(ROUNDDOWN(ROUND(L75*VLOOKUP(K75,'【参考】数式用'!$A$4:$F$57,MATCH("処遇改善加算Ⅳ",'【参考】数式用'!$C$3:$F$3,0)+2,0),0)*M75,0)*Z75*0.5,0),"")</f>
        <v/>
      </c>
      <c r="AD75" s="608"/>
      <c r="AE75" s="616"/>
      <c r="AF75" s="616"/>
      <c r="AG75" s="622"/>
      <c r="AH75" s="625"/>
      <c r="AI75" s="632"/>
      <c r="AJ75" s="632"/>
      <c r="AK75" s="647" t="str">
        <f t="shared" si="2"/>
        <v/>
      </c>
      <c r="AL75" s="650" t="str">
        <f t="shared" si="18"/>
        <v/>
      </c>
      <c r="AM75" s="653"/>
      <c r="AN75" s="656" t="str">
        <f>IFERROR(VLOOKUP(K75,'【参考】数式用'!$A$2:$N$57,14,FALSE),"")</f>
        <v/>
      </c>
      <c r="AO75" s="656" t="str">
        <f t="shared" si="3"/>
        <v/>
      </c>
      <c r="AP75" s="661" t="str">
        <f t="shared" si="4"/>
        <v/>
      </c>
      <c r="AQ75" s="661" t="str">
        <f t="shared" si="5"/>
        <v>入力済</v>
      </c>
      <c r="AR75" s="656" t="str">
        <f t="shared" si="6"/>
        <v/>
      </c>
      <c r="AS75" s="661" t="str">
        <f t="shared" si="7"/>
        <v>入力済</v>
      </c>
      <c r="AT75" s="661" t="str">
        <f t="shared" si="8"/>
        <v/>
      </c>
      <c r="AU75" s="661" t="str">
        <f t="shared" si="9"/>
        <v/>
      </c>
      <c r="AV75" s="656" t="str">
        <f t="shared" si="10"/>
        <v/>
      </c>
      <c r="AW75" s="656" t="str">
        <f t="shared" si="11"/>
        <v>入力済</v>
      </c>
      <c r="AX75" s="661" t="str">
        <f>IFERROR(VLOOKUP(K75,'【参考】数式用'!$AR$3:$AS$49,2,FALSE),"")</f>
        <v/>
      </c>
      <c r="AY75" s="656" t="str">
        <f t="shared" si="12"/>
        <v/>
      </c>
      <c r="AZ75" s="656" t="str">
        <f t="shared" si="19"/>
        <v>入力済</v>
      </c>
      <c r="BA75" s="661" t="str">
        <f>IFERROR(VLOOKUP(K75,'【参考】数式用'!$AX$3:$AY$56,2,FALSE),"")</f>
        <v/>
      </c>
      <c r="BB75" s="656" t="str">
        <f t="shared" si="14"/>
        <v/>
      </c>
      <c r="BC75" s="672" t="str">
        <f t="shared" si="15"/>
        <v>入力済</v>
      </c>
      <c r="BD75" s="656" t="str">
        <f t="shared" si="16"/>
        <v/>
      </c>
      <c r="BE75" s="656" t="str">
        <f t="shared" si="17"/>
        <v/>
      </c>
      <c r="BF75" s="658"/>
      <c r="BG75" s="658"/>
      <c r="BH75" s="680" t="e">
        <f>VLOOKUP(K75,'【参考】数式用'!$A$2:$O$57,15,FALSE)</f>
        <v>#N/A</v>
      </c>
      <c r="BI75" s="658"/>
      <c r="BJ75" s="658"/>
      <c r="BK75" s="658"/>
      <c r="BL75" s="658"/>
      <c r="BM75" s="658"/>
      <c r="BN75" s="658"/>
      <c r="BO75" s="675"/>
    </row>
    <row r="76" spans="1:67" s="494" customFormat="1"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IF(基本情報入力シート!AG104="","",基本情報入力シート!AG104)</f>
        <v/>
      </c>
      <c r="N76" s="569"/>
      <c r="O76" s="574" t="str">
        <f>IFERROR(VLOOKUP(K76,'【参考】数式用'!$A$2:$F$57,MATCH(N76,'【参考】数式用'!$C$3:$F$3,0)+2,0),"")</f>
        <v/>
      </c>
      <c r="P76" s="581" t="s">
        <v>543</v>
      </c>
      <c r="Q76" s="586"/>
      <c r="R76" s="588" t="s">
        <v>75</v>
      </c>
      <c r="S76" s="586"/>
      <c r="T76" s="588" t="s">
        <v>159</v>
      </c>
      <c r="U76" s="586"/>
      <c r="V76" s="588" t="s">
        <v>75</v>
      </c>
      <c r="W76" s="586"/>
      <c r="X76" s="588" t="s">
        <v>722</v>
      </c>
      <c r="Y76" s="588" t="s">
        <v>161</v>
      </c>
      <c r="Z76" s="588" t="str">
        <f t="shared" ref="Z76:Z111" si="20">IF(Q76&gt;=1,(U76*12+W76)-(Q76*12+S76)+1,"")</f>
        <v/>
      </c>
      <c r="AA76" s="592" t="s">
        <v>6</v>
      </c>
      <c r="AB76" s="597" t="str">
        <f t="shared" ref="AB76:AB111" si="21">IFERROR(ROUNDDOWN(ROUND(L76*O76,0)*M76,0)*Z76,"")</f>
        <v/>
      </c>
      <c r="AC76" s="602" t="str">
        <f>IFERROR(ROUNDDOWN(ROUNDDOWN(ROUND(L76*VLOOKUP(K76,'【参考】数式用'!$A$4:$F$57,MATCH("処遇改善加算Ⅳ",'【参考】数式用'!$C$3:$F$3,0)+2,0),0)*M76,0)*Z76*0.5,0),"")</f>
        <v/>
      </c>
      <c r="AD76" s="608"/>
      <c r="AE76" s="616"/>
      <c r="AF76" s="616"/>
      <c r="AG76" s="622"/>
      <c r="AH76" s="625"/>
      <c r="AI76" s="632"/>
      <c r="AJ76" s="632"/>
      <c r="AK76" s="647" t="str">
        <f t="shared" ref="AK76:AK111" si="22">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50" t="str">
        <f t="shared" si="18"/>
        <v/>
      </c>
      <c r="AM76" s="653"/>
      <c r="AN76" s="656" t="str">
        <f>IFERROR(VLOOKUP(K76,'【参考】数式用'!$A$2:$N$57,14,FALSE),"")</f>
        <v/>
      </c>
      <c r="AO76" s="656" t="str">
        <f t="shared" ref="AO76:AO111" si="23">IF(AND(K76&lt;&gt;"",AN76="加算対象"),"N列に色付け","")</f>
        <v/>
      </c>
      <c r="AP76" s="661" t="str">
        <f t="shared" ref="AP76:AP111" si="24">IF(AND(AC76&lt;&gt;0,AC76&lt;&gt;"",AN76="加算対象"),IF(AD76="○","入力済","未入力"),"")</f>
        <v/>
      </c>
      <c r="AQ76" s="661" t="str">
        <f t="shared" ref="AQ76:AQ111" si="25">IF(AND(N76&lt;&gt;"",AE76="",AN76="加算対象"),"未入力","入力済")</f>
        <v>入力済</v>
      </c>
      <c r="AR76" s="656" t="str">
        <f t="shared" ref="AR76:AR111" si="26">IF(AND(N76&lt;&gt;"",N76&lt;&gt;"処遇改善加算Ⅳ",AN76="加算対象"),"AF列に色付け","")</f>
        <v/>
      </c>
      <c r="AS76" s="661" t="str">
        <f t="shared" ref="AS76:AS111" si="27">IF(AND(N76&lt;&gt;"",N76&lt;&gt;"処遇改善加算Ⅳ",AF76=""),"未入力","入力済")</f>
        <v>入力済</v>
      </c>
      <c r="AT76" s="661" t="str">
        <f t="shared" ref="AT76:AT111" si="28">IF(OR(N76="処遇改善加算Ⅰ",N76="処遇改善加算Ⅱ"),"対象","")</f>
        <v/>
      </c>
      <c r="AU76" s="661" t="str">
        <f t="shared" ref="AU76:AU111" si="29">IF(AND(AN76="加算対象",N76&lt;&gt;"処遇改善加算Ⅲ",N76&lt;&gt;"処遇改善加算Ⅳ",N76&lt;&gt;"",AT76&lt;&gt;"対象外"),1,"")</f>
        <v/>
      </c>
      <c r="AV76" s="656" t="str">
        <f t="shared" ref="AV76:AV111" si="30">IF(AND(AU76=1,OR(AG76=0,AG76=""),AN76="加算対象"),"AH列に色付け","")</f>
        <v/>
      </c>
      <c r="AW76" s="656" t="str">
        <f t="shared" ref="AW76:AW111" si="31">IF(AND($AU76=1,$AV76="AH列に色付け",OR($AG76="",$AH76="")),"未入力",IF(AND($AU76=1,$AV76="",$AG76=""),"未入力","入力済"))</f>
        <v>入力済</v>
      </c>
      <c r="AX76" s="661" t="str">
        <f>IFERROR(VLOOKUP(K76,'【参考】数式用'!$AR$3:$AS$49,2,FALSE),"")</f>
        <v/>
      </c>
      <c r="AY76" s="656" t="str">
        <f t="shared" ref="AY76:AY111" si="32">IF(AND(AN76="加算対象",N76="処遇改善加算Ⅰ"),"AI列に色付け","")</f>
        <v/>
      </c>
      <c r="AZ76" s="656" t="str">
        <f t="shared" si="19"/>
        <v>入力済</v>
      </c>
      <c r="BA76" s="661" t="str">
        <f>IFERROR(VLOOKUP(K76,'【参考】数式用'!$AX$3:$AY$56,2,FALSE),"")</f>
        <v/>
      </c>
      <c r="BB76" s="656" t="str">
        <f t="shared" ref="BB76:BB111" si="33">IF(COUNTIF(AE76:AH76,"*令和８年度特例要件を*")&gt;0,"AJ列に色付け","")</f>
        <v/>
      </c>
      <c r="BC76" s="672" t="str">
        <f t="shared" ref="BC76:BC111" si="34">IF(AND(COUNTIF(AE76:AH76,"*令和８年度特例要件を*")&gt;0,AJ76=""),"未入力","入力済")</f>
        <v>入力済</v>
      </c>
      <c r="BD76" s="656" t="str">
        <f t="shared" ref="BD76:BD111" si="35">IF(BB76="AJ列に色付け","入力必要","")</f>
        <v/>
      </c>
      <c r="BE76" s="656" t="str">
        <f t="shared" ref="BE76:BE111" si="36">G76</f>
        <v/>
      </c>
      <c r="BF76" s="658"/>
      <c r="BG76" s="658"/>
      <c r="BH76" s="680" t="e">
        <f>VLOOKUP(K76,'【参考】数式用'!$A$2:$O$57,15,FALSE)</f>
        <v>#N/A</v>
      </c>
      <c r="BI76" s="658"/>
      <c r="BJ76" s="658"/>
      <c r="BK76" s="658"/>
      <c r="BL76" s="658"/>
      <c r="BM76" s="658"/>
      <c r="BN76" s="658"/>
      <c r="BO76" s="675"/>
    </row>
    <row r="77" spans="1:67" s="494" customFormat="1"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IF(基本情報入力シート!AG105="","",基本情報入力シート!AG105)</f>
        <v/>
      </c>
      <c r="N77" s="569"/>
      <c r="O77" s="574" t="str">
        <f>IFERROR(VLOOKUP(K77,'【参考】数式用'!$A$2:$F$57,MATCH(N77,'【参考】数式用'!$C$3:$F$3,0)+2,0),"")</f>
        <v/>
      </c>
      <c r="P77" s="581" t="s">
        <v>543</v>
      </c>
      <c r="Q77" s="586"/>
      <c r="R77" s="588" t="s">
        <v>75</v>
      </c>
      <c r="S77" s="586"/>
      <c r="T77" s="588" t="s">
        <v>159</v>
      </c>
      <c r="U77" s="586"/>
      <c r="V77" s="588" t="s">
        <v>75</v>
      </c>
      <c r="W77" s="586"/>
      <c r="X77" s="588" t="s">
        <v>722</v>
      </c>
      <c r="Y77" s="588" t="s">
        <v>161</v>
      </c>
      <c r="Z77" s="588" t="str">
        <f t="shared" si="20"/>
        <v/>
      </c>
      <c r="AA77" s="592" t="s">
        <v>6</v>
      </c>
      <c r="AB77" s="597" t="str">
        <f t="shared" si="21"/>
        <v/>
      </c>
      <c r="AC77" s="602" t="str">
        <f>IFERROR(ROUNDDOWN(ROUNDDOWN(ROUND(L77*VLOOKUP(K77,'【参考】数式用'!$A$4:$F$57,MATCH("処遇改善加算Ⅳ",'【参考】数式用'!$C$3:$F$3,0)+2,0),0)*M77,0)*Z77*0.5,0),"")</f>
        <v/>
      </c>
      <c r="AD77" s="608"/>
      <c r="AE77" s="616"/>
      <c r="AF77" s="616"/>
      <c r="AG77" s="622"/>
      <c r="AH77" s="625"/>
      <c r="AI77" s="632"/>
      <c r="AJ77" s="632"/>
      <c r="AK77" s="647" t="str">
        <f t="shared" si="22"/>
        <v/>
      </c>
      <c r="AL77" s="650" t="str">
        <f t="shared" ref="AL77:AL111" si="37">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653"/>
      <c r="AN77" s="656" t="str">
        <f>IFERROR(VLOOKUP(K77,'【参考】数式用'!$A$2:$N$57,14,FALSE),"")</f>
        <v/>
      </c>
      <c r="AO77" s="656" t="str">
        <f t="shared" si="23"/>
        <v/>
      </c>
      <c r="AP77" s="661" t="str">
        <f t="shared" si="24"/>
        <v/>
      </c>
      <c r="AQ77" s="661" t="str">
        <f t="shared" si="25"/>
        <v>入力済</v>
      </c>
      <c r="AR77" s="656" t="str">
        <f t="shared" si="26"/>
        <v/>
      </c>
      <c r="AS77" s="661" t="str">
        <f t="shared" si="27"/>
        <v>入力済</v>
      </c>
      <c r="AT77" s="661" t="str">
        <f t="shared" si="28"/>
        <v/>
      </c>
      <c r="AU77" s="661" t="str">
        <f t="shared" si="29"/>
        <v/>
      </c>
      <c r="AV77" s="656" t="str">
        <f t="shared" si="30"/>
        <v/>
      </c>
      <c r="AW77" s="656" t="str">
        <f t="shared" si="31"/>
        <v>入力済</v>
      </c>
      <c r="AX77" s="661" t="str">
        <f>IFERROR(VLOOKUP(K77,'【参考】数式用'!$AR$3:$AS$49,2,FALSE),"")</f>
        <v/>
      </c>
      <c r="AY77" s="656" t="str">
        <f t="shared" si="32"/>
        <v/>
      </c>
      <c r="AZ77" s="656" t="str">
        <f t="shared" si="19"/>
        <v>入力済</v>
      </c>
      <c r="BA77" s="661" t="str">
        <f>IFERROR(VLOOKUP(K77,'【参考】数式用'!$AX$3:$AY$56,2,FALSE),"")</f>
        <v/>
      </c>
      <c r="BB77" s="656" t="str">
        <f t="shared" si="33"/>
        <v/>
      </c>
      <c r="BC77" s="672" t="str">
        <f t="shared" si="34"/>
        <v>入力済</v>
      </c>
      <c r="BD77" s="656" t="str">
        <f t="shared" si="35"/>
        <v/>
      </c>
      <c r="BE77" s="656" t="str">
        <f t="shared" si="36"/>
        <v/>
      </c>
      <c r="BF77" s="658"/>
      <c r="BG77" s="658"/>
      <c r="BH77" s="680" t="e">
        <f>VLOOKUP(K77,'【参考】数式用'!$A$2:$O$57,15,FALSE)</f>
        <v>#N/A</v>
      </c>
      <c r="BI77" s="658"/>
      <c r="BJ77" s="658"/>
      <c r="BK77" s="658"/>
      <c r="BL77" s="658"/>
      <c r="BM77" s="658"/>
      <c r="BN77" s="658"/>
      <c r="BO77" s="675"/>
    </row>
    <row r="78" spans="1:67" s="494" customFormat="1"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IF(基本情報入力シート!AG106="","",基本情報入力シート!AG106)</f>
        <v/>
      </c>
      <c r="N78" s="569"/>
      <c r="O78" s="574" t="str">
        <f>IFERROR(VLOOKUP(K78,'【参考】数式用'!$A$2:$F$57,MATCH(N78,'【参考】数式用'!$C$3:$F$3,0)+2,0),"")</f>
        <v/>
      </c>
      <c r="P78" s="581" t="s">
        <v>543</v>
      </c>
      <c r="Q78" s="586"/>
      <c r="R78" s="588" t="s">
        <v>75</v>
      </c>
      <c r="S78" s="586"/>
      <c r="T78" s="588" t="s">
        <v>159</v>
      </c>
      <c r="U78" s="586"/>
      <c r="V78" s="588" t="s">
        <v>75</v>
      </c>
      <c r="W78" s="586"/>
      <c r="X78" s="588" t="s">
        <v>722</v>
      </c>
      <c r="Y78" s="588" t="s">
        <v>161</v>
      </c>
      <c r="Z78" s="588" t="str">
        <f t="shared" si="20"/>
        <v/>
      </c>
      <c r="AA78" s="592" t="s">
        <v>6</v>
      </c>
      <c r="AB78" s="597" t="str">
        <f t="shared" si="21"/>
        <v/>
      </c>
      <c r="AC78" s="602" t="str">
        <f>IFERROR(ROUNDDOWN(ROUNDDOWN(ROUND(L78*VLOOKUP(K78,'【参考】数式用'!$A$4:$F$57,MATCH("処遇改善加算Ⅳ",'【参考】数式用'!$C$3:$F$3,0)+2,0),0)*M78,0)*Z78*0.5,0),"")</f>
        <v/>
      </c>
      <c r="AD78" s="608"/>
      <c r="AE78" s="616"/>
      <c r="AF78" s="616"/>
      <c r="AG78" s="622"/>
      <c r="AH78" s="625"/>
      <c r="AI78" s="632"/>
      <c r="AJ78" s="632"/>
      <c r="AK78" s="647" t="str">
        <f t="shared" si="22"/>
        <v/>
      </c>
      <c r="AL78" s="650" t="str">
        <f t="shared" si="37"/>
        <v/>
      </c>
      <c r="AM78" s="653"/>
      <c r="AN78" s="656" t="str">
        <f>IFERROR(VLOOKUP(K78,'【参考】数式用'!$A$2:$N$57,14,FALSE),"")</f>
        <v/>
      </c>
      <c r="AO78" s="656" t="str">
        <f t="shared" si="23"/>
        <v/>
      </c>
      <c r="AP78" s="661" t="str">
        <f t="shared" si="24"/>
        <v/>
      </c>
      <c r="AQ78" s="661" t="str">
        <f t="shared" si="25"/>
        <v>入力済</v>
      </c>
      <c r="AR78" s="656" t="str">
        <f t="shared" si="26"/>
        <v/>
      </c>
      <c r="AS78" s="661" t="str">
        <f t="shared" si="27"/>
        <v>入力済</v>
      </c>
      <c r="AT78" s="661" t="str">
        <f t="shared" si="28"/>
        <v/>
      </c>
      <c r="AU78" s="661" t="str">
        <f t="shared" si="29"/>
        <v/>
      </c>
      <c r="AV78" s="656" t="str">
        <f t="shared" si="30"/>
        <v/>
      </c>
      <c r="AW78" s="656" t="str">
        <f t="shared" si="31"/>
        <v>入力済</v>
      </c>
      <c r="AX78" s="661" t="str">
        <f>IFERROR(VLOOKUP(K78,'【参考】数式用'!$AR$3:$AS$49,2,FALSE),"")</f>
        <v/>
      </c>
      <c r="AY78" s="656" t="str">
        <f t="shared" si="32"/>
        <v/>
      </c>
      <c r="AZ78" s="656" t="str">
        <f t="shared" si="19"/>
        <v>入力済</v>
      </c>
      <c r="BA78" s="661" t="str">
        <f>IFERROR(VLOOKUP(K78,'【参考】数式用'!$AX$3:$AY$56,2,FALSE),"")</f>
        <v/>
      </c>
      <c r="BB78" s="656" t="str">
        <f t="shared" si="33"/>
        <v/>
      </c>
      <c r="BC78" s="672" t="str">
        <f t="shared" si="34"/>
        <v>入力済</v>
      </c>
      <c r="BD78" s="656" t="str">
        <f t="shared" si="35"/>
        <v/>
      </c>
      <c r="BE78" s="656" t="str">
        <f t="shared" si="36"/>
        <v/>
      </c>
      <c r="BF78" s="658"/>
      <c r="BG78" s="658"/>
      <c r="BH78" s="680" t="e">
        <f>VLOOKUP(K78,'【参考】数式用'!$A$2:$O$57,15,FALSE)</f>
        <v>#N/A</v>
      </c>
      <c r="BI78" s="658"/>
      <c r="BJ78" s="658"/>
      <c r="BK78" s="658"/>
      <c r="BL78" s="658"/>
      <c r="BM78" s="658"/>
      <c r="BN78" s="658"/>
      <c r="BO78" s="675"/>
    </row>
    <row r="79" spans="1:67" s="494" customFormat="1"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IF(基本情報入力シート!AG107="","",基本情報入力シート!AG107)</f>
        <v/>
      </c>
      <c r="N79" s="569"/>
      <c r="O79" s="574" t="str">
        <f>IFERROR(VLOOKUP(K79,'【参考】数式用'!$A$2:$F$57,MATCH(N79,'【参考】数式用'!$C$3:$F$3,0)+2,0),"")</f>
        <v/>
      </c>
      <c r="P79" s="581" t="s">
        <v>543</v>
      </c>
      <c r="Q79" s="586"/>
      <c r="R79" s="588" t="s">
        <v>75</v>
      </c>
      <c r="S79" s="586"/>
      <c r="T79" s="588" t="s">
        <v>159</v>
      </c>
      <c r="U79" s="586"/>
      <c r="V79" s="588" t="s">
        <v>75</v>
      </c>
      <c r="W79" s="586"/>
      <c r="X79" s="588" t="s">
        <v>10</v>
      </c>
      <c r="Y79" s="588" t="s">
        <v>161</v>
      </c>
      <c r="Z79" s="588" t="str">
        <f t="shared" si="20"/>
        <v/>
      </c>
      <c r="AA79" s="592" t="s">
        <v>6</v>
      </c>
      <c r="AB79" s="597" t="str">
        <f t="shared" si="21"/>
        <v/>
      </c>
      <c r="AC79" s="602" t="str">
        <f>IFERROR(ROUNDDOWN(ROUNDDOWN(ROUND(L79*VLOOKUP(K79,'【参考】数式用'!$A$4:$F$57,MATCH("処遇改善加算Ⅳ",'【参考】数式用'!$C$3:$F$3,0)+2,0),0)*M79,0)*Z79*0.5,0),"")</f>
        <v/>
      </c>
      <c r="AD79" s="608"/>
      <c r="AE79" s="616"/>
      <c r="AF79" s="616"/>
      <c r="AG79" s="622"/>
      <c r="AH79" s="625"/>
      <c r="AI79" s="632"/>
      <c r="AJ79" s="632"/>
      <c r="AK79" s="647" t="str">
        <f t="shared" si="22"/>
        <v/>
      </c>
      <c r="AL79" s="650" t="str">
        <f t="shared" si="37"/>
        <v/>
      </c>
      <c r="AM79" s="653"/>
      <c r="AN79" s="656" t="str">
        <f>IFERROR(VLOOKUP(K79,'【参考】数式用'!$A$2:$N$57,14,FALSE),"")</f>
        <v/>
      </c>
      <c r="AO79" s="656" t="str">
        <f t="shared" si="23"/>
        <v/>
      </c>
      <c r="AP79" s="661" t="str">
        <f t="shared" si="24"/>
        <v/>
      </c>
      <c r="AQ79" s="661" t="str">
        <f t="shared" si="25"/>
        <v>入力済</v>
      </c>
      <c r="AR79" s="656" t="str">
        <f t="shared" si="26"/>
        <v/>
      </c>
      <c r="AS79" s="661" t="str">
        <f t="shared" si="27"/>
        <v>入力済</v>
      </c>
      <c r="AT79" s="661" t="str">
        <f t="shared" si="28"/>
        <v/>
      </c>
      <c r="AU79" s="661" t="str">
        <f t="shared" si="29"/>
        <v/>
      </c>
      <c r="AV79" s="656" t="str">
        <f t="shared" si="30"/>
        <v/>
      </c>
      <c r="AW79" s="656" t="str">
        <f t="shared" si="31"/>
        <v>入力済</v>
      </c>
      <c r="AX79" s="661" t="str">
        <f>IFERROR(VLOOKUP(K79,'【参考】数式用'!$AR$3:$AS$49,2,FALSE),"")</f>
        <v/>
      </c>
      <c r="AY79" s="656" t="str">
        <f t="shared" si="32"/>
        <v/>
      </c>
      <c r="AZ79" s="656" t="str">
        <f t="shared" si="19"/>
        <v>入力済</v>
      </c>
      <c r="BA79" s="661" t="str">
        <f>IFERROR(VLOOKUP(K79,'【参考】数式用'!$AX$3:$AY$56,2,FALSE),"")</f>
        <v/>
      </c>
      <c r="BB79" s="656" t="str">
        <f t="shared" si="33"/>
        <v/>
      </c>
      <c r="BC79" s="672" t="str">
        <f t="shared" si="34"/>
        <v>入力済</v>
      </c>
      <c r="BD79" s="656" t="str">
        <f t="shared" si="35"/>
        <v/>
      </c>
      <c r="BE79" s="656" t="str">
        <f t="shared" si="36"/>
        <v/>
      </c>
      <c r="BF79" s="658"/>
      <c r="BG79" s="658"/>
      <c r="BH79" s="680" t="e">
        <f>VLOOKUP(K79,'【参考】数式用'!$A$2:$O$57,15,FALSE)</f>
        <v>#N/A</v>
      </c>
      <c r="BI79" s="658"/>
      <c r="BJ79" s="658"/>
      <c r="BK79" s="658"/>
      <c r="BL79" s="658"/>
      <c r="BM79" s="658"/>
      <c r="BN79" s="658"/>
      <c r="BO79" s="675"/>
    </row>
    <row r="80" spans="1:67" s="494" customFormat="1"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IF(基本情報入力シート!AG108="","",基本情報入力シート!AG108)</f>
        <v/>
      </c>
      <c r="N80" s="569"/>
      <c r="O80" s="574" t="str">
        <f>IFERROR(VLOOKUP(K80,'【参考】数式用'!$A$2:$F$57,MATCH(N80,'【参考】数式用'!$C$3:$F$3,0)+2,0),"")</f>
        <v/>
      </c>
      <c r="P80" s="581" t="s">
        <v>543</v>
      </c>
      <c r="Q80" s="586"/>
      <c r="R80" s="588" t="s">
        <v>75</v>
      </c>
      <c r="S80" s="586"/>
      <c r="T80" s="588" t="s">
        <v>159</v>
      </c>
      <c r="U80" s="586"/>
      <c r="V80" s="588" t="s">
        <v>75</v>
      </c>
      <c r="W80" s="586"/>
      <c r="X80" s="588" t="s">
        <v>10</v>
      </c>
      <c r="Y80" s="588" t="s">
        <v>161</v>
      </c>
      <c r="Z80" s="588" t="str">
        <f t="shared" si="20"/>
        <v/>
      </c>
      <c r="AA80" s="592" t="s">
        <v>6</v>
      </c>
      <c r="AB80" s="597" t="str">
        <f t="shared" si="21"/>
        <v/>
      </c>
      <c r="AC80" s="602" t="str">
        <f>IFERROR(ROUNDDOWN(ROUNDDOWN(ROUND(L80*VLOOKUP(K80,'【参考】数式用'!$A$4:$F$57,MATCH("処遇改善加算Ⅳ",'【参考】数式用'!$C$3:$F$3,0)+2,0),0)*M80,0)*Z80*0.5,0),"")</f>
        <v/>
      </c>
      <c r="AD80" s="608"/>
      <c r="AE80" s="616"/>
      <c r="AF80" s="616"/>
      <c r="AG80" s="622"/>
      <c r="AH80" s="625"/>
      <c r="AI80" s="632"/>
      <c r="AJ80" s="632"/>
      <c r="AK80" s="647" t="str">
        <f t="shared" si="22"/>
        <v/>
      </c>
      <c r="AL80" s="650" t="str">
        <f t="shared" si="37"/>
        <v/>
      </c>
      <c r="AM80" s="653"/>
      <c r="AN80" s="656" t="str">
        <f>IFERROR(VLOOKUP(K80,'【参考】数式用'!$A$2:$N$57,14,FALSE),"")</f>
        <v/>
      </c>
      <c r="AO80" s="656" t="str">
        <f t="shared" si="23"/>
        <v/>
      </c>
      <c r="AP80" s="661" t="str">
        <f t="shared" si="24"/>
        <v/>
      </c>
      <c r="AQ80" s="661" t="str">
        <f t="shared" si="25"/>
        <v>入力済</v>
      </c>
      <c r="AR80" s="656" t="str">
        <f t="shared" si="26"/>
        <v/>
      </c>
      <c r="AS80" s="661" t="str">
        <f t="shared" si="27"/>
        <v>入力済</v>
      </c>
      <c r="AT80" s="661" t="str">
        <f t="shared" si="28"/>
        <v/>
      </c>
      <c r="AU80" s="661" t="str">
        <f t="shared" si="29"/>
        <v/>
      </c>
      <c r="AV80" s="656" t="str">
        <f t="shared" si="30"/>
        <v/>
      </c>
      <c r="AW80" s="656" t="str">
        <f t="shared" si="31"/>
        <v>入力済</v>
      </c>
      <c r="AX80" s="661" t="str">
        <f>IFERROR(VLOOKUP(K80,'【参考】数式用'!$AR$3:$AS$49,2,FALSE),"")</f>
        <v/>
      </c>
      <c r="AY80" s="656" t="str">
        <f t="shared" si="32"/>
        <v/>
      </c>
      <c r="AZ80" s="656" t="str">
        <f t="shared" si="19"/>
        <v>入力済</v>
      </c>
      <c r="BA80" s="661" t="str">
        <f>IFERROR(VLOOKUP(K80,'【参考】数式用'!$AX$3:$AY$56,2,FALSE),"")</f>
        <v/>
      </c>
      <c r="BB80" s="656" t="str">
        <f t="shared" si="33"/>
        <v/>
      </c>
      <c r="BC80" s="672" t="str">
        <f t="shared" si="34"/>
        <v>入力済</v>
      </c>
      <c r="BD80" s="656" t="str">
        <f t="shared" si="35"/>
        <v/>
      </c>
      <c r="BE80" s="656" t="str">
        <f t="shared" si="36"/>
        <v/>
      </c>
      <c r="BF80" s="658"/>
      <c r="BG80" s="658"/>
      <c r="BH80" s="680" t="e">
        <f>VLOOKUP(K80,'【参考】数式用'!$A$2:$O$57,15,FALSE)</f>
        <v>#N/A</v>
      </c>
      <c r="BI80" s="658"/>
      <c r="BJ80" s="658"/>
      <c r="BK80" s="658"/>
      <c r="BL80" s="658"/>
      <c r="BM80" s="658"/>
      <c r="BN80" s="658"/>
      <c r="BO80" s="675"/>
    </row>
    <row r="81" spans="1:67" s="494" customFormat="1"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IF(基本情報入力シート!AG109="","",基本情報入力シート!AG109)</f>
        <v/>
      </c>
      <c r="N81" s="569"/>
      <c r="O81" s="574" t="str">
        <f>IFERROR(VLOOKUP(K81,'【参考】数式用'!$A$2:$F$57,MATCH(N81,'【参考】数式用'!$C$3:$F$3,0)+2,0),"")</f>
        <v/>
      </c>
      <c r="P81" s="581" t="s">
        <v>543</v>
      </c>
      <c r="Q81" s="586"/>
      <c r="R81" s="588" t="s">
        <v>75</v>
      </c>
      <c r="S81" s="586"/>
      <c r="T81" s="588" t="s">
        <v>159</v>
      </c>
      <c r="U81" s="586"/>
      <c r="V81" s="588" t="s">
        <v>75</v>
      </c>
      <c r="W81" s="586"/>
      <c r="X81" s="588" t="s">
        <v>722</v>
      </c>
      <c r="Y81" s="588" t="s">
        <v>161</v>
      </c>
      <c r="Z81" s="588" t="str">
        <f t="shared" si="20"/>
        <v/>
      </c>
      <c r="AA81" s="592" t="s">
        <v>6</v>
      </c>
      <c r="AB81" s="597" t="str">
        <f t="shared" si="21"/>
        <v/>
      </c>
      <c r="AC81" s="602" t="str">
        <f>IFERROR(ROUNDDOWN(ROUNDDOWN(ROUND(L81*VLOOKUP(K81,'【参考】数式用'!$A$4:$F$57,MATCH("処遇改善加算Ⅳ",'【参考】数式用'!$C$3:$F$3,0)+2,0),0)*M81,0)*Z81*0.5,0),"")</f>
        <v/>
      </c>
      <c r="AD81" s="608"/>
      <c r="AE81" s="616"/>
      <c r="AF81" s="616"/>
      <c r="AG81" s="622"/>
      <c r="AH81" s="625"/>
      <c r="AI81" s="632"/>
      <c r="AJ81" s="632"/>
      <c r="AK81" s="647" t="str">
        <f t="shared" si="22"/>
        <v/>
      </c>
      <c r="AL81" s="650" t="str">
        <f t="shared" si="37"/>
        <v/>
      </c>
      <c r="AM81" s="653"/>
      <c r="AN81" s="656" t="str">
        <f>IFERROR(VLOOKUP(K81,'【参考】数式用'!$A$2:$N$57,14,FALSE),"")</f>
        <v/>
      </c>
      <c r="AO81" s="656" t="str">
        <f t="shared" si="23"/>
        <v/>
      </c>
      <c r="AP81" s="661" t="str">
        <f t="shared" si="24"/>
        <v/>
      </c>
      <c r="AQ81" s="661" t="str">
        <f t="shared" si="25"/>
        <v>入力済</v>
      </c>
      <c r="AR81" s="656" t="str">
        <f t="shared" si="26"/>
        <v/>
      </c>
      <c r="AS81" s="661" t="str">
        <f t="shared" si="27"/>
        <v>入力済</v>
      </c>
      <c r="AT81" s="661" t="str">
        <f t="shared" si="28"/>
        <v/>
      </c>
      <c r="AU81" s="661" t="str">
        <f t="shared" si="29"/>
        <v/>
      </c>
      <c r="AV81" s="656" t="str">
        <f t="shared" si="30"/>
        <v/>
      </c>
      <c r="AW81" s="656" t="str">
        <f t="shared" si="31"/>
        <v>入力済</v>
      </c>
      <c r="AX81" s="661" t="str">
        <f>IFERROR(VLOOKUP(K81,'【参考】数式用'!$AR$3:$AS$49,2,FALSE),"")</f>
        <v/>
      </c>
      <c r="AY81" s="656" t="str">
        <f t="shared" si="32"/>
        <v/>
      </c>
      <c r="AZ81" s="656" t="str">
        <f t="shared" si="19"/>
        <v>入力済</v>
      </c>
      <c r="BA81" s="661" t="str">
        <f>IFERROR(VLOOKUP(K81,'【参考】数式用'!$AX$3:$AY$56,2,FALSE),"")</f>
        <v/>
      </c>
      <c r="BB81" s="656" t="str">
        <f t="shared" si="33"/>
        <v/>
      </c>
      <c r="BC81" s="672" t="str">
        <f t="shared" si="34"/>
        <v>入力済</v>
      </c>
      <c r="BD81" s="656" t="str">
        <f t="shared" si="35"/>
        <v/>
      </c>
      <c r="BE81" s="656" t="str">
        <f t="shared" si="36"/>
        <v/>
      </c>
      <c r="BF81" s="658"/>
      <c r="BG81" s="658"/>
      <c r="BH81" s="680" t="e">
        <f>VLOOKUP(K81,'【参考】数式用'!$A$2:$O$57,15,FALSE)</f>
        <v>#N/A</v>
      </c>
      <c r="BI81" s="658"/>
      <c r="BJ81" s="658"/>
      <c r="BK81" s="658"/>
      <c r="BL81" s="658"/>
      <c r="BM81" s="658"/>
      <c r="BN81" s="658"/>
      <c r="BO81" s="675"/>
    </row>
    <row r="82" spans="1:67" s="494" customFormat="1"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IF(基本情報入力シート!AG110="","",基本情報入力シート!AG110)</f>
        <v/>
      </c>
      <c r="N82" s="569"/>
      <c r="O82" s="574" t="str">
        <f>IFERROR(VLOOKUP(K82,'【参考】数式用'!$A$2:$F$57,MATCH(N82,'【参考】数式用'!$C$3:$F$3,0)+2,0),"")</f>
        <v/>
      </c>
      <c r="P82" s="581" t="s">
        <v>543</v>
      </c>
      <c r="Q82" s="586"/>
      <c r="R82" s="588" t="s">
        <v>75</v>
      </c>
      <c r="S82" s="586"/>
      <c r="T82" s="588" t="s">
        <v>159</v>
      </c>
      <c r="U82" s="586"/>
      <c r="V82" s="588" t="s">
        <v>75</v>
      </c>
      <c r="W82" s="586"/>
      <c r="X82" s="588" t="s">
        <v>722</v>
      </c>
      <c r="Y82" s="588" t="s">
        <v>161</v>
      </c>
      <c r="Z82" s="588" t="str">
        <f t="shared" si="20"/>
        <v/>
      </c>
      <c r="AA82" s="592" t="s">
        <v>6</v>
      </c>
      <c r="AB82" s="597" t="str">
        <f t="shared" si="21"/>
        <v/>
      </c>
      <c r="AC82" s="602" t="str">
        <f>IFERROR(ROUNDDOWN(ROUNDDOWN(ROUND(L82*VLOOKUP(K82,'【参考】数式用'!$A$4:$F$57,MATCH("処遇改善加算Ⅳ",'【参考】数式用'!$C$3:$F$3,0)+2,0),0)*M82,0)*Z82*0.5,0),"")</f>
        <v/>
      </c>
      <c r="AD82" s="608"/>
      <c r="AE82" s="616"/>
      <c r="AF82" s="616"/>
      <c r="AG82" s="622"/>
      <c r="AH82" s="625"/>
      <c r="AI82" s="632"/>
      <c r="AJ82" s="632"/>
      <c r="AK82" s="647" t="str">
        <f t="shared" si="22"/>
        <v/>
      </c>
      <c r="AL82" s="650" t="str">
        <f t="shared" si="37"/>
        <v/>
      </c>
      <c r="AM82" s="653"/>
      <c r="AN82" s="656" t="str">
        <f>IFERROR(VLOOKUP(K82,'【参考】数式用'!$A$2:$N$57,14,FALSE),"")</f>
        <v/>
      </c>
      <c r="AO82" s="656" t="str">
        <f t="shared" si="23"/>
        <v/>
      </c>
      <c r="AP82" s="661" t="str">
        <f t="shared" si="24"/>
        <v/>
      </c>
      <c r="AQ82" s="661" t="str">
        <f t="shared" si="25"/>
        <v>入力済</v>
      </c>
      <c r="AR82" s="656" t="str">
        <f t="shared" si="26"/>
        <v/>
      </c>
      <c r="AS82" s="661" t="str">
        <f t="shared" si="27"/>
        <v>入力済</v>
      </c>
      <c r="AT82" s="661" t="str">
        <f t="shared" si="28"/>
        <v/>
      </c>
      <c r="AU82" s="661" t="str">
        <f t="shared" si="29"/>
        <v/>
      </c>
      <c r="AV82" s="656" t="str">
        <f t="shared" si="30"/>
        <v/>
      </c>
      <c r="AW82" s="656" t="str">
        <f t="shared" si="31"/>
        <v>入力済</v>
      </c>
      <c r="AX82" s="661" t="str">
        <f>IFERROR(VLOOKUP(K82,'【参考】数式用'!$AR$3:$AS$49,2,FALSE),"")</f>
        <v/>
      </c>
      <c r="AY82" s="656" t="str">
        <f t="shared" si="32"/>
        <v/>
      </c>
      <c r="AZ82" s="656" t="str">
        <f t="shared" si="19"/>
        <v>入力済</v>
      </c>
      <c r="BA82" s="661" t="str">
        <f>IFERROR(VLOOKUP(K82,'【参考】数式用'!$AX$3:$AY$56,2,FALSE),"")</f>
        <v/>
      </c>
      <c r="BB82" s="656" t="str">
        <f t="shared" si="33"/>
        <v/>
      </c>
      <c r="BC82" s="672" t="str">
        <f t="shared" si="34"/>
        <v>入力済</v>
      </c>
      <c r="BD82" s="656" t="str">
        <f t="shared" si="35"/>
        <v/>
      </c>
      <c r="BE82" s="656" t="str">
        <f t="shared" si="36"/>
        <v/>
      </c>
      <c r="BF82" s="658"/>
      <c r="BG82" s="658"/>
      <c r="BH82" s="680" t="e">
        <f>VLOOKUP(K82,'【参考】数式用'!$A$2:$O$57,15,FALSE)</f>
        <v>#N/A</v>
      </c>
      <c r="BI82" s="658"/>
      <c r="BJ82" s="658"/>
      <c r="BK82" s="658"/>
      <c r="BL82" s="658"/>
      <c r="BM82" s="658"/>
      <c r="BN82" s="658"/>
      <c r="BO82" s="675"/>
    </row>
    <row r="83" spans="1:67" s="494" customFormat="1"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IF(基本情報入力シート!AG111="","",基本情報入力シート!AG111)</f>
        <v/>
      </c>
      <c r="N83" s="569"/>
      <c r="O83" s="574" t="str">
        <f>IFERROR(VLOOKUP(K83,'【参考】数式用'!$A$2:$F$57,MATCH(N83,'【参考】数式用'!$C$3:$F$3,0)+2,0),"")</f>
        <v/>
      </c>
      <c r="P83" s="581" t="s">
        <v>543</v>
      </c>
      <c r="Q83" s="586"/>
      <c r="R83" s="588" t="s">
        <v>75</v>
      </c>
      <c r="S83" s="586"/>
      <c r="T83" s="588" t="s">
        <v>159</v>
      </c>
      <c r="U83" s="586"/>
      <c r="V83" s="588" t="s">
        <v>75</v>
      </c>
      <c r="W83" s="586"/>
      <c r="X83" s="588" t="s">
        <v>722</v>
      </c>
      <c r="Y83" s="588" t="s">
        <v>161</v>
      </c>
      <c r="Z83" s="588" t="str">
        <f t="shared" si="20"/>
        <v/>
      </c>
      <c r="AA83" s="592" t="s">
        <v>6</v>
      </c>
      <c r="AB83" s="597" t="str">
        <f t="shared" si="21"/>
        <v/>
      </c>
      <c r="AC83" s="602" t="str">
        <f>IFERROR(ROUNDDOWN(ROUNDDOWN(ROUND(L83*VLOOKUP(K83,'【参考】数式用'!$A$4:$F$57,MATCH("処遇改善加算Ⅳ",'【参考】数式用'!$C$3:$F$3,0)+2,0),0)*M83,0)*Z83*0.5,0),"")</f>
        <v/>
      </c>
      <c r="AD83" s="608"/>
      <c r="AE83" s="616"/>
      <c r="AF83" s="616"/>
      <c r="AG83" s="622"/>
      <c r="AH83" s="625"/>
      <c r="AI83" s="632"/>
      <c r="AJ83" s="632"/>
      <c r="AK83" s="647" t="str">
        <f t="shared" si="22"/>
        <v/>
      </c>
      <c r="AL83" s="650" t="str">
        <f t="shared" si="37"/>
        <v/>
      </c>
      <c r="AM83" s="653"/>
      <c r="AN83" s="656" t="str">
        <f>IFERROR(VLOOKUP(K83,'【参考】数式用'!$A$2:$N$57,14,FALSE),"")</f>
        <v/>
      </c>
      <c r="AO83" s="656" t="str">
        <f t="shared" si="23"/>
        <v/>
      </c>
      <c r="AP83" s="661" t="str">
        <f t="shared" si="24"/>
        <v/>
      </c>
      <c r="AQ83" s="661" t="str">
        <f t="shared" si="25"/>
        <v>入力済</v>
      </c>
      <c r="AR83" s="656" t="str">
        <f t="shared" si="26"/>
        <v/>
      </c>
      <c r="AS83" s="661" t="str">
        <f t="shared" si="27"/>
        <v>入力済</v>
      </c>
      <c r="AT83" s="661" t="str">
        <f t="shared" si="28"/>
        <v/>
      </c>
      <c r="AU83" s="661" t="str">
        <f t="shared" si="29"/>
        <v/>
      </c>
      <c r="AV83" s="656" t="str">
        <f t="shared" si="30"/>
        <v/>
      </c>
      <c r="AW83" s="656" t="str">
        <f t="shared" si="31"/>
        <v>入力済</v>
      </c>
      <c r="AX83" s="661" t="str">
        <f>IFERROR(VLOOKUP(K83,'【参考】数式用'!$AR$3:$AS$49,2,FALSE),"")</f>
        <v/>
      </c>
      <c r="AY83" s="656" t="str">
        <f t="shared" si="32"/>
        <v/>
      </c>
      <c r="AZ83" s="656" t="str">
        <f t="shared" si="19"/>
        <v>入力済</v>
      </c>
      <c r="BA83" s="661" t="str">
        <f>IFERROR(VLOOKUP(K83,'【参考】数式用'!$AX$3:$AY$56,2,FALSE),"")</f>
        <v/>
      </c>
      <c r="BB83" s="656" t="str">
        <f t="shared" si="33"/>
        <v/>
      </c>
      <c r="BC83" s="672" t="str">
        <f t="shared" si="34"/>
        <v>入力済</v>
      </c>
      <c r="BD83" s="656" t="str">
        <f t="shared" si="35"/>
        <v/>
      </c>
      <c r="BE83" s="656" t="str">
        <f t="shared" si="36"/>
        <v/>
      </c>
      <c r="BF83" s="658"/>
      <c r="BG83" s="658"/>
      <c r="BH83" s="680" t="e">
        <f>VLOOKUP(K83,'【参考】数式用'!$A$2:$O$57,15,FALSE)</f>
        <v>#N/A</v>
      </c>
      <c r="BI83" s="658"/>
      <c r="BJ83" s="658"/>
      <c r="BK83" s="658"/>
      <c r="BL83" s="658"/>
      <c r="BM83" s="658"/>
      <c r="BN83" s="658"/>
      <c r="BO83" s="675"/>
    </row>
    <row r="84" spans="1:67" s="494" customFormat="1"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IF(基本情報入力シート!AG112="","",基本情報入力シート!AG112)</f>
        <v/>
      </c>
      <c r="N84" s="569"/>
      <c r="O84" s="574" t="str">
        <f>IFERROR(VLOOKUP(K84,'【参考】数式用'!$A$2:$F$57,MATCH(N84,'【参考】数式用'!$C$3:$F$3,0)+2,0),"")</f>
        <v/>
      </c>
      <c r="P84" s="581" t="s">
        <v>543</v>
      </c>
      <c r="Q84" s="586"/>
      <c r="R84" s="588" t="s">
        <v>75</v>
      </c>
      <c r="S84" s="586"/>
      <c r="T84" s="588" t="s">
        <v>159</v>
      </c>
      <c r="U84" s="586"/>
      <c r="V84" s="588" t="s">
        <v>75</v>
      </c>
      <c r="W84" s="586"/>
      <c r="X84" s="588" t="s">
        <v>10</v>
      </c>
      <c r="Y84" s="588" t="s">
        <v>161</v>
      </c>
      <c r="Z84" s="588" t="str">
        <f t="shared" si="20"/>
        <v/>
      </c>
      <c r="AA84" s="592" t="s">
        <v>6</v>
      </c>
      <c r="AB84" s="597" t="str">
        <f t="shared" si="21"/>
        <v/>
      </c>
      <c r="AC84" s="602" t="str">
        <f>IFERROR(ROUNDDOWN(ROUNDDOWN(ROUND(L84*VLOOKUP(K84,'【参考】数式用'!$A$4:$F$57,MATCH("処遇改善加算Ⅳ",'【参考】数式用'!$C$3:$F$3,0)+2,0),0)*M84,0)*Z84*0.5,0),"")</f>
        <v/>
      </c>
      <c r="AD84" s="608"/>
      <c r="AE84" s="616"/>
      <c r="AF84" s="616"/>
      <c r="AG84" s="622"/>
      <c r="AH84" s="625"/>
      <c r="AI84" s="632"/>
      <c r="AJ84" s="632"/>
      <c r="AK84" s="647" t="str">
        <f t="shared" si="22"/>
        <v/>
      </c>
      <c r="AL84" s="650" t="str">
        <f t="shared" si="37"/>
        <v/>
      </c>
      <c r="AM84" s="653"/>
      <c r="AN84" s="656" t="str">
        <f>IFERROR(VLOOKUP(K84,'【参考】数式用'!$A$2:$N$57,14,FALSE),"")</f>
        <v/>
      </c>
      <c r="AO84" s="656" t="str">
        <f t="shared" si="23"/>
        <v/>
      </c>
      <c r="AP84" s="661" t="str">
        <f t="shared" si="24"/>
        <v/>
      </c>
      <c r="AQ84" s="661" t="str">
        <f t="shared" si="25"/>
        <v>入力済</v>
      </c>
      <c r="AR84" s="656" t="str">
        <f t="shared" si="26"/>
        <v/>
      </c>
      <c r="AS84" s="661" t="str">
        <f t="shared" si="27"/>
        <v>入力済</v>
      </c>
      <c r="AT84" s="661" t="str">
        <f t="shared" si="28"/>
        <v/>
      </c>
      <c r="AU84" s="661" t="str">
        <f t="shared" si="29"/>
        <v/>
      </c>
      <c r="AV84" s="656" t="str">
        <f t="shared" si="30"/>
        <v/>
      </c>
      <c r="AW84" s="656" t="str">
        <f t="shared" si="31"/>
        <v>入力済</v>
      </c>
      <c r="AX84" s="661" t="str">
        <f>IFERROR(VLOOKUP(K84,'【参考】数式用'!$AR$3:$AS$49,2,FALSE),"")</f>
        <v/>
      </c>
      <c r="AY84" s="656" t="str">
        <f t="shared" si="32"/>
        <v/>
      </c>
      <c r="AZ84" s="656" t="str">
        <f t="shared" si="19"/>
        <v>入力済</v>
      </c>
      <c r="BA84" s="661" t="str">
        <f>IFERROR(VLOOKUP(K84,'【参考】数式用'!$AX$3:$AY$56,2,FALSE),"")</f>
        <v/>
      </c>
      <c r="BB84" s="656" t="str">
        <f t="shared" si="33"/>
        <v/>
      </c>
      <c r="BC84" s="672" t="str">
        <f t="shared" si="34"/>
        <v>入力済</v>
      </c>
      <c r="BD84" s="656" t="str">
        <f t="shared" si="35"/>
        <v/>
      </c>
      <c r="BE84" s="656" t="str">
        <f t="shared" si="36"/>
        <v/>
      </c>
      <c r="BF84" s="658"/>
      <c r="BG84" s="658"/>
      <c r="BH84" s="680" t="e">
        <f>VLOOKUP(K84,'【参考】数式用'!$A$2:$O$57,15,FALSE)</f>
        <v>#N/A</v>
      </c>
      <c r="BI84" s="658"/>
      <c r="BJ84" s="658"/>
      <c r="BK84" s="658"/>
      <c r="BL84" s="658"/>
      <c r="BM84" s="658"/>
      <c r="BN84" s="658"/>
      <c r="BO84" s="675"/>
    </row>
    <row r="85" spans="1:67" s="494" customFormat="1"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IF(基本情報入力シート!AG113="","",基本情報入力シート!AG113)</f>
        <v/>
      </c>
      <c r="N85" s="569"/>
      <c r="O85" s="574" t="str">
        <f>IFERROR(VLOOKUP(K85,'【参考】数式用'!$A$2:$F$57,MATCH(N85,'【参考】数式用'!$C$3:$F$3,0)+2,0),"")</f>
        <v/>
      </c>
      <c r="P85" s="581" t="s">
        <v>543</v>
      </c>
      <c r="Q85" s="586"/>
      <c r="R85" s="588" t="s">
        <v>75</v>
      </c>
      <c r="S85" s="586"/>
      <c r="T85" s="588" t="s">
        <v>159</v>
      </c>
      <c r="U85" s="586"/>
      <c r="V85" s="588" t="s">
        <v>75</v>
      </c>
      <c r="W85" s="586"/>
      <c r="X85" s="588" t="s">
        <v>722</v>
      </c>
      <c r="Y85" s="588" t="s">
        <v>161</v>
      </c>
      <c r="Z85" s="588" t="str">
        <f t="shared" si="20"/>
        <v/>
      </c>
      <c r="AA85" s="592" t="s">
        <v>6</v>
      </c>
      <c r="AB85" s="597" t="str">
        <f t="shared" si="21"/>
        <v/>
      </c>
      <c r="AC85" s="602" t="str">
        <f>IFERROR(ROUNDDOWN(ROUNDDOWN(ROUND(L85*VLOOKUP(K85,'【参考】数式用'!$A$4:$F$57,MATCH("処遇改善加算Ⅳ",'【参考】数式用'!$C$3:$F$3,0)+2,0),0)*M85,0)*Z85*0.5,0),"")</f>
        <v/>
      </c>
      <c r="AD85" s="608"/>
      <c r="AE85" s="616"/>
      <c r="AF85" s="616"/>
      <c r="AG85" s="622"/>
      <c r="AH85" s="625"/>
      <c r="AI85" s="632"/>
      <c r="AJ85" s="632"/>
      <c r="AK85" s="647" t="str">
        <f t="shared" si="22"/>
        <v/>
      </c>
      <c r="AL85" s="650" t="str">
        <f t="shared" si="37"/>
        <v/>
      </c>
      <c r="AM85" s="653"/>
      <c r="AN85" s="656" t="str">
        <f>IFERROR(VLOOKUP(K85,'【参考】数式用'!$A$2:$N$57,14,FALSE),"")</f>
        <v/>
      </c>
      <c r="AO85" s="656" t="str">
        <f t="shared" si="23"/>
        <v/>
      </c>
      <c r="AP85" s="661" t="str">
        <f t="shared" si="24"/>
        <v/>
      </c>
      <c r="AQ85" s="661" t="str">
        <f t="shared" si="25"/>
        <v>入力済</v>
      </c>
      <c r="AR85" s="656" t="str">
        <f t="shared" si="26"/>
        <v/>
      </c>
      <c r="AS85" s="661" t="str">
        <f t="shared" si="27"/>
        <v>入力済</v>
      </c>
      <c r="AT85" s="661" t="str">
        <f t="shared" si="28"/>
        <v/>
      </c>
      <c r="AU85" s="661" t="str">
        <f t="shared" si="29"/>
        <v/>
      </c>
      <c r="AV85" s="656" t="str">
        <f t="shared" si="30"/>
        <v/>
      </c>
      <c r="AW85" s="656" t="str">
        <f t="shared" si="31"/>
        <v>入力済</v>
      </c>
      <c r="AX85" s="661" t="str">
        <f>IFERROR(VLOOKUP(K85,'【参考】数式用'!$AR$3:$AS$49,2,FALSE),"")</f>
        <v/>
      </c>
      <c r="AY85" s="656" t="str">
        <f t="shared" si="32"/>
        <v/>
      </c>
      <c r="AZ85" s="656" t="str">
        <f t="shared" si="19"/>
        <v>入力済</v>
      </c>
      <c r="BA85" s="661" t="str">
        <f>IFERROR(VLOOKUP(K85,'【参考】数式用'!$AX$3:$AY$56,2,FALSE),"")</f>
        <v/>
      </c>
      <c r="BB85" s="656" t="str">
        <f t="shared" si="33"/>
        <v/>
      </c>
      <c r="BC85" s="672" t="str">
        <f t="shared" si="34"/>
        <v>入力済</v>
      </c>
      <c r="BD85" s="656" t="str">
        <f t="shared" si="35"/>
        <v/>
      </c>
      <c r="BE85" s="656" t="str">
        <f t="shared" si="36"/>
        <v/>
      </c>
      <c r="BF85" s="658"/>
      <c r="BG85" s="658"/>
      <c r="BH85" s="680" t="e">
        <f>VLOOKUP(K85,'【参考】数式用'!$A$2:$O$57,15,FALSE)</f>
        <v>#N/A</v>
      </c>
      <c r="BI85" s="658"/>
      <c r="BJ85" s="658"/>
      <c r="BK85" s="658"/>
      <c r="BL85" s="658"/>
      <c r="BM85" s="658"/>
      <c r="BN85" s="658"/>
      <c r="BO85" s="675"/>
    </row>
    <row r="86" spans="1:67" s="494" customFormat="1"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IF(基本情報入力シート!AG114="","",基本情報入力シート!AG114)</f>
        <v/>
      </c>
      <c r="N86" s="569"/>
      <c r="O86" s="574" t="str">
        <f>IFERROR(VLOOKUP(K86,'【参考】数式用'!$A$2:$F$57,MATCH(N86,'【参考】数式用'!$C$3:$F$3,0)+2,0),"")</f>
        <v/>
      </c>
      <c r="P86" s="581" t="s">
        <v>543</v>
      </c>
      <c r="Q86" s="586"/>
      <c r="R86" s="588" t="s">
        <v>75</v>
      </c>
      <c r="S86" s="586"/>
      <c r="T86" s="588" t="s">
        <v>159</v>
      </c>
      <c r="U86" s="586"/>
      <c r="V86" s="588" t="s">
        <v>75</v>
      </c>
      <c r="W86" s="586"/>
      <c r="X86" s="588" t="s">
        <v>722</v>
      </c>
      <c r="Y86" s="588" t="s">
        <v>161</v>
      </c>
      <c r="Z86" s="588" t="str">
        <f t="shared" si="20"/>
        <v/>
      </c>
      <c r="AA86" s="592" t="s">
        <v>6</v>
      </c>
      <c r="AB86" s="597" t="str">
        <f t="shared" si="21"/>
        <v/>
      </c>
      <c r="AC86" s="602" t="str">
        <f>IFERROR(ROUNDDOWN(ROUNDDOWN(ROUND(L86*VLOOKUP(K86,'【参考】数式用'!$A$4:$F$57,MATCH("処遇改善加算Ⅳ",'【参考】数式用'!$C$3:$F$3,0)+2,0),0)*M86,0)*Z86*0.5,0),"")</f>
        <v/>
      </c>
      <c r="AD86" s="608"/>
      <c r="AE86" s="616"/>
      <c r="AF86" s="616"/>
      <c r="AG86" s="622"/>
      <c r="AH86" s="625"/>
      <c r="AI86" s="632"/>
      <c r="AJ86" s="632"/>
      <c r="AK86" s="647" t="str">
        <f t="shared" si="22"/>
        <v/>
      </c>
      <c r="AL86" s="650" t="str">
        <f t="shared" si="37"/>
        <v/>
      </c>
      <c r="AM86" s="653"/>
      <c r="AN86" s="656" t="str">
        <f>IFERROR(VLOOKUP(K86,'【参考】数式用'!$A$2:$N$57,14,FALSE),"")</f>
        <v/>
      </c>
      <c r="AO86" s="656" t="str">
        <f t="shared" si="23"/>
        <v/>
      </c>
      <c r="AP86" s="661" t="str">
        <f t="shared" si="24"/>
        <v/>
      </c>
      <c r="AQ86" s="661" t="str">
        <f t="shared" si="25"/>
        <v>入力済</v>
      </c>
      <c r="AR86" s="656" t="str">
        <f t="shared" si="26"/>
        <v/>
      </c>
      <c r="AS86" s="661" t="str">
        <f t="shared" si="27"/>
        <v>入力済</v>
      </c>
      <c r="AT86" s="661" t="str">
        <f t="shared" si="28"/>
        <v/>
      </c>
      <c r="AU86" s="661" t="str">
        <f t="shared" si="29"/>
        <v/>
      </c>
      <c r="AV86" s="656" t="str">
        <f t="shared" si="30"/>
        <v/>
      </c>
      <c r="AW86" s="656" t="str">
        <f t="shared" si="31"/>
        <v>入力済</v>
      </c>
      <c r="AX86" s="661" t="str">
        <f>IFERROR(VLOOKUP(K86,'【参考】数式用'!$AR$3:$AS$49,2,FALSE),"")</f>
        <v/>
      </c>
      <c r="AY86" s="656" t="str">
        <f t="shared" si="32"/>
        <v/>
      </c>
      <c r="AZ86" s="656" t="str">
        <f t="shared" si="19"/>
        <v>入力済</v>
      </c>
      <c r="BA86" s="661" t="str">
        <f>IFERROR(VLOOKUP(K86,'【参考】数式用'!$AX$3:$AY$56,2,FALSE),"")</f>
        <v/>
      </c>
      <c r="BB86" s="656" t="str">
        <f t="shared" si="33"/>
        <v/>
      </c>
      <c r="BC86" s="672" t="str">
        <f t="shared" si="34"/>
        <v>入力済</v>
      </c>
      <c r="BD86" s="656" t="str">
        <f t="shared" si="35"/>
        <v/>
      </c>
      <c r="BE86" s="656" t="str">
        <f t="shared" si="36"/>
        <v/>
      </c>
      <c r="BF86" s="658"/>
      <c r="BG86" s="658"/>
      <c r="BH86" s="680" t="e">
        <f>VLOOKUP(K86,'【参考】数式用'!$A$2:$O$57,15,FALSE)</f>
        <v>#N/A</v>
      </c>
      <c r="BI86" s="658"/>
      <c r="BJ86" s="658"/>
      <c r="BK86" s="658"/>
      <c r="BL86" s="658"/>
      <c r="BM86" s="658"/>
      <c r="BN86" s="658"/>
      <c r="BO86" s="675"/>
    </row>
    <row r="87" spans="1:67" s="494" customFormat="1"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IF(基本情報入力シート!AG115="","",基本情報入力シート!AG115)</f>
        <v/>
      </c>
      <c r="N87" s="569"/>
      <c r="O87" s="574" t="str">
        <f>IFERROR(VLOOKUP(K87,'【参考】数式用'!$A$2:$F$57,MATCH(N87,'【参考】数式用'!$C$3:$F$3,0)+2,0),"")</f>
        <v/>
      </c>
      <c r="P87" s="581" t="s">
        <v>543</v>
      </c>
      <c r="Q87" s="586"/>
      <c r="R87" s="588" t="s">
        <v>75</v>
      </c>
      <c r="S87" s="586"/>
      <c r="T87" s="588" t="s">
        <v>159</v>
      </c>
      <c r="U87" s="586"/>
      <c r="V87" s="588" t="s">
        <v>75</v>
      </c>
      <c r="W87" s="586"/>
      <c r="X87" s="588" t="s">
        <v>722</v>
      </c>
      <c r="Y87" s="588" t="s">
        <v>161</v>
      </c>
      <c r="Z87" s="588" t="str">
        <f t="shared" si="20"/>
        <v/>
      </c>
      <c r="AA87" s="592" t="s">
        <v>6</v>
      </c>
      <c r="AB87" s="597" t="str">
        <f t="shared" si="21"/>
        <v/>
      </c>
      <c r="AC87" s="602" t="str">
        <f>IFERROR(ROUNDDOWN(ROUNDDOWN(ROUND(L87*VLOOKUP(K87,'【参考】数式用'!$A$4:$F$57,MATCH("処遇改善加算Ⅳ",'【参考】数式用'!$C$3:$F$3,0)+2,0),0)*M87,0)*Z87*0.5,0),"")</f>
        <v/>
      </c>
      <c r="AD87" s="608"/>
      <c r="AE87" s="616"/>
      <c r="AF87" s="616"/>
      <c r="AG87" s="622"/>
      <c r="AH87" s="625"/>
      <c r="AI87" s="632"/>
      <c r="AJ87" s="632"/>
      <c r="AK87" s="647" t="str">
        <f t="shared" si="22"/>
        <v/>
      </c>
      <c r="AL87" s="650" t="str">
        <f t="shared" si="37"/>
        <v/>
      </c>
      <c r="AM87" s="653"/>
      <c r="AN87" s="656" t="str">
        <f>IFERROR(VLOOKUP(K87,'【参考】数式用'!$A$2:$N$57,14,FALSE),"")</f>
        <v/>
      </c>
      <c r="AO87" s="656" t="str">
        <f t="shared" si="23"/>
        <v/>
      </c>
      <c r="AP87" s="661" t="str">
        <f t="shared" si="24"/>
        <v/>
      </c>
      <c r="AQ87" s="661" t="str">
        <f t="shared" si="25"/>
        <v>入力済</v>
      </c>
      <c r="AR87" s="656" t="str">
        <f t="shared" si="26"/>
        <v/>
      </c>
      <c r="AS87" s="661" t="str">
        <f t="shared" si="27"/>
        <v>入力済</v>
      </c>
      <c r="AT87" s="661" t="str">
        <f t="shared" si="28"/>
        <v/>
      </c>
      <c r="AU87" s="661" t="str">
        <f t="shared" si="29"/>
        <v/>
      </c>
      <c r="AV87" s="656" t="str">
        <f t="shared" si="30"/>
        <v/>
      </c>
      <c r="AW87" s="656" t="str">
        <f t="shared" si="31"/>
        <v>入力済</v>
      </c>
      <c r="AX87" s="661" t="str">
        <f>IFERROR(VLOOKUP(K87,'【参考】数式用'!$AR$3:$AS$49,2,FALSE),"")</f>
        <v/>
      </c>
      <c r="AY87" s="656" t="str">
        <f t="shared" si="32"/>
        <v/>
      </c>
      <c r="AZ87" s="656" t="str">
        <f t="shared" si="19"/>
        <v>入力済</v>
      </c>
      <c r="BA87" s="661" t="str">
        <f>IFERROR(VLOOKUP(K87,'【参考】数式用'!$AX$3:$AY$56,2,FALSE),"")</f>
        <v/>
      </c>
      <c r="BB87" s="656" t="str">
        <f t="shared" si="33"/>
        <v/>
      </c>
      <c r="BC87" s="672" t="str">
        <f t="shared" si="34"/>
        <v>入力済</v>
      </c>
      <c r="BD87" s="656" t="str">
        <f t="shared" si="35"/>
        <v/>
      </c>
      <c r="BE87" s="656" t="str">
        <f t="shared" si="36"/>
        <v/>
      </c>
      <c r="BF87" s="658"/>
      <c r="BG87" s="658"/>
      <c r="BH87" s="680" t="e">
        <f>VLOOKUP(K87,'【参考】数式用'!$A$2:$O$57,15,FALSE)</f>
        <v>#N/A</v>
      </c>
      <c r="BI87" s="658"/>
      <c r="BJ87" s="658"/>
      <c r="BK87" s="658"/>
      <c r="BL87" s="658"/>
      <c r="BM87" s="658"/>
      <c r="BN87" s="658"/>
      <c r="BO87" s="675"/>
    </row>
    <row r="88" spans="1:67" s="494" customFormat="1"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IF(基本情報入力シート!AG116="","",基本情報入力シート!AG116)</f>
        <v/>
      </c>
      <c r="N88" s="569"/>
      <c r="O88" s="574" t="str">
        <f>IFERROR(VLOOKUP(K88,'【参考】数式用'!$A$2:$F$57,MATCH(N88,'【参考】数式用'!$C$3:$F$3,0)+2,0),"")</f>
        <v/>
      </c>
      <c r="P88" s="581" t="s">
        <v>543</v>
      </c>
      <c r="Q88" s="586"/>
      <c r="R88" s="588" t="s">
        <v>75</v>
      </c>
      <c r="S88" s="586"/>
      <c r="T88" s="588" t="s">
        <v>159</v>
      </c>
      <c r="U88" s="586"/>
      <c r="V88" s="588" t="s">
        <v>75</v>
      </c>
      <c r="W88" s="586"/>
      <c r="X88" s="588" t="s">
        <v>10</v>
      </c>
      <c r="Y88" s="588" t="s">
        <v>161</v>
      </c>
      <c r="Z88" s="588" t="str">
        <f t="shared" si="20"/>
        <v/>
      </c>
      <c r="AA88" s="592" t="s">
        <v>6</v>
      </c>
      <c r="AB88" s="597" t="str">
        <f t="shared" si="21"/>
        <v/>
      </c>
      <c r="AC88" s="602" t="str">
        <f>IFERROR(ROUNDDOWN(ROUNDDOWN(ROUND(L88*VLOOKUP(K88,'【参考】数式用'!$A$4:$F$57,MATCH("処遇改善加算Ⅳ",'【参考】数式用'!$C$3:$F$3,0)+2,0),0)*M88,0)*Z88*0.5,0),"")</f>
        <v/>
      </c>
      <c r="AD88" s="608"/>
      <c r="AE88" s="616"/>
      <c r="AF88" s="616"/>
      <c r="AG88" s="622"/>
      <c r="AH88" s="625"/>
      <c r="AI88" s="632"/>
      <c r="AJ88" s="632"/>
      <c r="AK88" s="647" t="str">
        <f t="shared" si="22"/>
        <v/>
      </c>
      <c r="AL88" s="650" t="str">
        <f t="shared" si="37"/>
        <v/>
      </c>
      <c r="AM88" s="653"/>
      <c r="AN88" s="656" t="str">
        <f>IFERROR(VLOOKUP(K88,'【参考】数式用'!$A$2:$N$57,14,FALSE),"")</f>
        <v/>
      </c>
      <c r="AO88" s="656" t="str">
        <f t="shared" si="23"/>
        <v/>
      </c>
      <c r="AP88" s="661" t="str">
        <f t="shared" si="24"/>
        <v/>
      </c>
      <c r="AQ88" s="661" t="str">
        <f t="shared" si="25"/>
        <v>入力済</v>
      </c>
      <c r="AR88" s="656" t="str">
        <f t="shared" si="26"/>
        <v/>
      </c>
      <c r="AS88" s="661" t="str">
        <f t="shared" si="27"/>
        <v>入力済</v>
      </c>
      <c r="AT88" s="661" t="str">
        <f t="shared" si="28"/>
        <v/>
      </c>
      <c r="AU88" s="661" t="str">
        <f t="shared" si="29"/>
        <v/>
      </c>
      <c r="AV88" s="656" t="str">
        <f t="shared" si="30"/>
        <v/>
      </c>
      <c r="AW88" s="656" t="str">
        <f t="shared" si="31"/>
        <v>入力済</v>
      </c>
      <c r="AX88" s="661" t="str">
        <f>IFERROR(VLOOKUP(K88,'【参考】数式用'!$AR$3:$AS$49,2,FALSE),"")</f>
        <v/>
      </c>
      <c r="AY88" s="656" t="str">
        <f t="shared" si="32"/>
        <v/>
      </c>
      <c r="AZ88" s="656" t="str">
        <f t="shared" si="19"/>
        <v>入力済</v>
      </c>
      <c r="BA88" s="661" t="str">
        <f>IFERROR(VLOOKUP(K88,'【参考】数式用'!$AX$3:$AY$56,2,FALSE),"")</f>
        <v/>
      </c>
      <c r="BB88" s="656" t="str">
        <f t="shared" si="33"/>
        <v/>
      </c>
      <c r="BC88" s="672" t="str">
        <f t="shared" si="34"/>
        <v>入力済</v>
      </c>
      <c r="BD88" s="656" t="str">
        <f t="shared" si="35"/>
        <v/>
      </c>
      <c r="BE88" s="656" t="str">
        <f t="shared" si="36"/>
        <v/>
      </c>
      <c r="BF88" s="658"/>
      <c r="BG88" s="658"/>
      <c r="BH88" s="680" t="e">
        <f>VLOOKUP(K88,'【参考】数式用'!$A$2:$O$57,15,FALSE)</f>
        <v>#N/A</v>
      </c>
      <c r="BI88" s="658"/>
      <c r="BJ88" s="658"/>
      <c r="BK88" s="658"/>
      <c r="BL88" s="658"/>
      <c r="BM88" s="658"/>
      <c r="BN88" s="658"/>
      <c r="BO88" s="675"/>
    </row>
    <row r="89" spans="1:67" s="494" customFormat="1"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IF(基本情報入力シート!AG117="","",基本情報入力シート!AG117)</f>
        <v/>
      </c>
      <c r="N89" s="569"/>
      <c r="O89" s="574" t="str">
        <f>IFERROR(VLOOKUP(K89,'【参考】数式用'!$A$2:$F$57,MATCH(N89,'【参考】数式用'!$C$3:$F$3,0)+2,0),"")</f>
        <v/>
      </c>
      <c r="P89" s="581" t="s">
        <v>543</v>
      </c>
      <c r="Q89" s="586"/>
      <c r="R89" s="588" t="s">
        <v>75</v>
      </c>
      <c r="S89" s="586"/>
      <c r="T89" s="588" t="s">
        <v>159</v>
      </c>
      <c r="U89" s="586"/>
      <c r="V89" s="588" t="s">
        <v>75</v>
      </c>
      <c r="W89" s="586"/>
      <c r="X89" s="588" t="s">
        <v>10</v>
      </c>
      <c r="Y89" s="588" t="s">
        <v>161</v>
      </c>
      <c r="Z89" s="588" t="str">
        <f t="shared" si="20"/>
        <v/>
      </c>
      <c r="AA89" s="592" t="s">
        <v>6</v>
      </c>
      <c r="AB89" s="597" t="str">
        <f t="shared" si="21"/>
        <v/>
      </c>
      <c r="AC89" s="602" t="str">
        <f>IFERROR(ROUNDDOWN(ROUNDDOWN(ROUND(L89*VLOOKUP(K89,'【参考】数式用'!$A$4:$F$57,MATCH("処遇改善加算Ⅳ",'【参考】数式用'!$C$3:$F$3,0)+2,0),0)*M89,0)*Z89*0.5,0),"")</f>
        <v/>
      </c>
      <c r="AD89" s="608"/>
      <c r="AE89" s="616"/>
      <c r="AF89" s="616"/>
      <c r="AG89" s="622"/>
      <c r="AH89" s="625"/>
      <c r="AI89" s="632"/>
      <c r="AJ89" s="632"/>
      <c r="AK89" s="647" t="str">
        <f t="shared" si="22"/>
        <v/>
      </c>
      <c r="AL89" s="650" t="str">
        <f t="shared" si="37"/>
        <v/>
      </c>
      <c r="AM89" s="653"/>
      <c r="AN89" s="656" t="str">
        <f>IFERROR(VLOOKUP(K89,'【参考】数式用'!$A$2:$N$57,14,FALSE),"")</f>
        <v/>
      </c>
      <c r="AO89" s="656" t="str">
        <f t="shared" si="23"/>
        <v/>
      </c>
      <c r="AP89" s="661" t="str">
        <f t="shared" si="24"/>
        <v/>
      </c>
      <c r="AQ89" s="661" t="str">
        <f t="shared" si="25"/>
        <v>入力済</v>
      </c>
      <c r="AR89" s="656" t="str">
        <f t="shared" si="26"/>
        <v/>
      </c>
      <c r="AS89" s="661" t="str">
        <f t="shared" si="27"/>
        <v>入力済</v>
      </c>
      <c r="AT89" s="661" t="str">
        <f t="shared" si="28"/>
        <v/>
      </c>
      <c r="AU89" s="661" t="str">
        <f t="shared" si="29"/>
        <v/>
      </c>
      <c r="AV89" s="656" t="str">
        <f t="shared" si="30"/>
        <v/>
      </c>
      <c r="AW89" s="656" t="str">
        <f t="shared" si="31"/>
        <v>入力済</v>
      </c>
      <c r="AX89" s="661" t="str">
        <f>IFERROR(VLOOKUP(K89,'【参考】数式用'!$AR$3:$AS$49,2,FALSE),"")</f>
        <v/>
      </c>
      <c r="AY89" s="656" t="str">
        <f t="shared" si="32"/>
        <v/>
      </c>
      <c r="AZ89" s="656" t="str">
        <f t="shared" si="19"/>
        <v>入力済</v>
      </c>
      <c r="BA89" s="661" t="str">
        <f>IFERROR(VLOOKUP(K89,'【参考】数式用'!$AX$3:$AY$56,2,FALSE),"")</f>
        <v/>
      </c>
      <c r="BB89" s="656" t="str">
        <f t="shared" si="33"/>
        <v/>
      </c>
      <c r="BC89" s="672" t="str">
        <f t="shared" si="34"/>
        <v>入力済</v>
      </c>
      <c r="BD89" s="656" t="str">
        <f t="shared" si="35"/>
        <v/>
      </c>
      <c r="BE89" s="656" t="str">
        <f t="shared" si="36"/>
        <v/>
      </c>
      <c r="BF89" s="658"/>
      <c r="BG89" s="658"/>
      <c r="BH89" s="680" t="e">
        <f>VLOOKUP(K89,'【参考】数式用'!$A$2:$O$57,15,FALSE)</f>
        <v>#N/A</v>
      </c>
      <c r="BI89" s="658"/>
      <c r="BJ89" s="658"/>
      <c r="BK89" s="658"/>
      <c r="BL89" s="658"/>
      <c r="BM89" s="658"/>
      <c r="BN89" s="658"/>
      <c r="BO89" s="675"/>
    </row>
    <row r="90" spans="1:67" s="494" customFormat="1"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IF(基本情報入力シート!AG118="","",基本情報入力シート!AG118)</f>
        <v/>
      </c>
      <c r="N90" s="569"/>
      <c r="O90" s="574" t="str">
        <f>IFERROR(VLOOKUP(K90,'【参考】数式用'!$A$2:$F$57,MATCH(N90,'【参考】数式用'!$C$3:$F$3,0)+2,0),"")</f>
        <v/>
      </c>
      <c r="P90" s="581" t="s">
        <v>543</v>
      </c>
      <c r="Q90" s="586"/>
      <c r="R90" s="588" t="s">
        <v>75</v>
      </c>
      <c r="S90" s="586"/>
      <c r="T90" s="588" t="s">
        <v>159</v>
      </c>
      <c r="U90" s="586"/>
      <c r="V90" s="588" t="s">
        <v>75</v>
      </c>
      <c r="W90" s="586"/>
      <c r="X90" s="588" t="s">
        <v>722</v>
      </c>
      <c r="Y90" s="588" t="s">
        <v>161</v>
      </c>
      <c r="Z90" s="588" t="str">
        <f t="shared" si="20"/>
        <v/>
      </c>
      <c r="AA90" s="592" t="s">
        <v>6</v>
      </c>
      <c r="AB90" s="597" t="str">
        <f t="shared" si="21"/>
        <v/>
      </c>
      <c r="AC90" s="602" t="str">
        <f>IFERROR(ROUNDDOWN(ROUNDDOWN(ROUND(L90*VLOOKUP(K90,'【参考】数式用'!$A$4:$F$57,MATCH("処遇改善加算Ⅳ",'【参考】数式用'!$C$3:$F$3,0)+2,0),0)*M90,0)*Z90*0.5,0),"")</f>
        <v/>
      </c>
      <c r="AD90" s="608"/>
      <c r="AE90" s="616"/>
      <c r="AF90" s="616"/>
      <c r="AG90" s="622"/>
      <c r="AH90" s="625"/>
      <c r="AI90" s="632"/>
      <c r="AJ90" s="632"/>
      <c r="AK90" s="647" t="str">
        <f t="shared" si="22"/>
        <v/>
      </c>
      <c r="AL90" s="650" t="str">
        <f t="shared" si="37"/>
        <v/>
      </c>
      <c r="AM90" s="653"/>
      <c r="AN90" s="656" t="str">
        <f>IFERROR(VLOOKUP(K90,'【参考】数式用'!$A$2:$N$57,14,FALSE),"")</f>
        <v/>
      </c>
      <c r="AO90" s="656" t="str">
        <f t="shared" si="23"/>
        <v/>
      </c>
      <c r="AP90" s="661" t="str">
        <f t="shared" si="24"/>
        <v/>
      </c>
      <c r="AQ90" s="661" t="str">
        <f t="shared" si="25"/>
        <v>入力済</v>
      </c>
      <c r="AR90" s="656" t="str">
        <f t="shared" si="26"/>
        <v/>
      </c>
      <c r="AS90" s="661" t="str">
        <f t="shared" si="27"/>
        <v>入力済</v>
      </c>
      <c r="AT90" s="661" t="str">
        <f t="shared" si="28"/>
        <v/>
      </c>
      <c r="AU90" s="661" t="str">
        <f t="shared" si="29"/>
        <v/>
      </c>
      <c r="AV90" s="656" t="str">
        <f t="shared" si="30"/>
        <v/>
      </c>
      <c r="AW90" s="656" t="str">
        <f t="shared" si="31"/>
        <v>入力済</v>
      </c>
      <c r="AX90" s="661" t="str">
        <f>IFERROR(VLOOKUP(K90,'【参考】数式用'!$AR$3:$AS$49,2,FALSE),"")</f>
        <v/>
      </c>
      <c r="AY90" s="656" t="str">
        <f t="shared" si="32"/>
        <v/>
      </c>
      <c r="AZ90" s="656" t="str">
        <f t="shared" si="19"/>
        <v>入力済</v>
      </c>
      <c r="BA90" s="661" t="str">
        <f>IFERROR(VLOOKUP(K90,'【参考】数式用'!$AX$3:$AY$56,2,FALSE),"")</f>
        <v/>
      </c>
      <c r="BB90" s="656" t="str">
        <f t="shared" si="33"/>
        <v/>
      </c>
      <c r="BC90" s="672" t="str">
        <f t="shared" si="34"/>
        <v>入力済</v>
      </c>
      <c r="BD90" s="656" t="str">
        <f t="shared" si="35"/>
        <v/>
      </c>
      <c r="BE90" s="656" t="str">
        <f t="shared" si="36"/>
        <v/>
      </c>
      <c r="BF90" s="658"/>
      <c r="BG90" s="658"/>
      <c r="BH90" s="680" t="e">
        <f>VLOOKUP(K90,'【参考】数式用'!$A$2:$O$57,15,FALSE)</f>
        <v>#N/A</v>
      </c>
      <c r="BI90" s="658"/>
      <c r="BJ90" s="658"/>
      <c r="BK90" s="658"/>
      <c r="BL90" s="658"/>
      <c r="BM90" s="658"/>
      <c r="BN90" s="658"/>
      <c r="BO90" s="675"/>
    </row>
    <row r="91" spans="1:67" s="494" customFormat="1"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IF(基本情報入力シート!AG119="","",基本情報入力シート!AG119)</f>
        <v/>
      </c>
      <c r="N91" s="569"/>
      <c r="O91" s="574" t="str">
        <f>IFERROR(VLOOKUP(K91,'【参考】数式用'!$A$2:$F$57,MATCH(N91,'【参考】数式用'!$C$3:$F$3,0)+2,0),"")</f>
        <v/>
      </c>
      <c r="P91" s="581" t="s">
        <v>543</v>
      </c>
      <c r="Q91" s="586"/>
      <c r="R91" s="588" t="s">
        <v>75</v>
      </c>
      <c r="S91" s="586"/>
      <c r="T91" s="588" t="s">
        <v>159</v>
      </c>
      <c r="U91" s="586"/>
      <c r="V91" s="588" t="s">
        <v>75</v>
      </c>
      <c r="W91" s="586"/>
      <c r="X91" s="588" t="s">
        <v>722</v>
      </c>
      <c r="Y91" s="588" t="s">
        <v>161</v>
      </c>
      <c r="Z91" s="588" t="str">
        <f t="shared" si="20"/>
        <v/>
      </c>
      <c r="AA91" s="592" t="s">
        <v>6</v>
      </c>
      <c r="AB91" s="597" t="str">
        <f t="shared" si="21"/>
        <v/>
      </c>
      <c r="AC91" s="602" t="str">
        <f>IFERROR(ROUNDDOWN(ROUNDDOWN(ROUND(L91*VLOOKUP(K91,'【参考】数式用'!$A$4:$F$57,MATCH("処遇改善加算Ⅳ",'【参考】数式用'!$C$3:$F$3,0)+2,0),0)*M91,0)*Z91*0.5,0),"")</f>
        <v/>
      </c>
      <c r="AD91" s="608"/>
      <c r="AE91" s="616"/>
      <c r="AF91" s="616"/>
      <c r="AG91" s="622"/>
      <c r="AH91" s="625"/>
      <c r="AI91" s="632"/>
      <c r="AJ91" s="632"/>
      <c r="AK91" s="647" t="str">
        <f t="shared" si="22"/>
        <v/>
      </c>
      <c r="AL91" s="650" t="str">
        <f t="shared" si="37"/>
        <v/>
      </c>
      <c r="AM91" s="653"/>
      <c r="AN91" s="656" t="str">
        <f>IFERROR(VLOOKUP(K91,'【参考】数式用'!$A$2:$N$57,14,FALSE),"")</f>
        <v/>
      </c>
      <c r="AO91" s="656" t="str">
        <f t="shared" si="23"/>
        <v/>
      </c>
      <c r="AP91" s="661" t="str">
        <f t="shared" si="24"/>
        <v/>
      </c>
      <c r="AQ91" s="661" t="str">
        <f t="shared" si="25"/>
        <v>入力済</v>
      </c>
      <c r="AR91" s="656" t="str">
        <f t="shared" si="26"/>
        <v/>
      </c>
      <c r="AS91" s="661" t="str">
        <f t="shared" si="27"/>
        <v>入力済</v>
      </c>
      <c r="AT91" s="661" t="str">
        <f t="shared" si="28"/>
        <v/>
      </c>
      <c r="AU91" s="661" t="str">
        <f t="shared" si="29"/>
        <v/>
      </c>
      <c r="AV91" s="656" t="str">
        <f t="shared" si="30"/>
        <v/>
      </c>
      <c r="AW91" s="656" t="str">
        <f t="shared" si="31"/>
        <v>入力済</v>
      </c>
      <c r="AX91" s="661" t="str">
        <f>IFERROR(VLOOKUP(K91,'【参考】数式用'!$AR$3:$AS$49,2,FALSE),"")</f>
        <v/>
      </c>
      <c r="AY91" s="656" t="str">
        <f t="shared" si="32"/>
        <v/>
      </c>
      <c r="AZ91" s="656" t="str">
        <f t="shared" si="19"/>
        <v>入力済</v>
      </c>
      <c r="BA91" s="661" t="str">
        <f>IFERROR(VLOOKUP(K91,'【参考】数式用'!$AX$3:$AY$56,2,FALSE),"")</f>
        <v/>
      </c>
      <c r="BB91" s="656" t="str">
        <f t="shared" si="33"/>
        <v/>
      </c>
      <c r="BC91" s="672" t="str">
        <f t="shared" si="34"/>
        <v>入力済</v>
      </c>
      <c r="BD91" s="656" t="str">
        <f t="shared" si="35"/>
        <v/>
      </c>
      <c r="BE91" s="656" t="str">
        <f t="shared" si="36"/>
        <v/>
      </c>
      <c r="BF91" s="658"/>
      <c r="BG91" s="658"/>
      <c r="BH91" s="680" t="e">
        <f>VLOOKUP(K91,'【参考】数式用'!$A$2:$O$57,15,FALSE)</f>
        <v>#N/A</v>
      </c>
      <c r="BI91" s="658"/>
      <c r="BJ91" s="658"/>
      <c r="BK91" s="658"/>
      <c r="BL91" s="658"/>
      <c r="BM91" s="658"/>
      <c r="BN91" s="658"/>
      <c r="BO91" s="675"/>
    </row>
    <row r="92" spans="1:67" s="494" customFormat="1"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IF(基本情報入力シート!AG120="","",基本情報入力シート!AG120)</f>
        <v/>
      </c>
      <c r="N92" s="569"/>
      <c r="O92" s="574" t="str">
        <f>IFERROR(VLOOKUP(K92,'【参考】数式用'!$A$2:$F$57,MATCH(N92,'【参考】数式用'!$C$3:$F$3,0)+2,0),"")</f>
        <v/>
      </c>
      <c r="P92" s="581" t="s">
        <v>543</v>
      </c>
      <c r="Q92" s="586"/>
      <c r="R92" s="588" t="s">
        <v>75</v>
      </c>
      <c r="S92" s="586"/>
      <c r="T92" s="588" t="s">
        <v>159</v>
      </c>
      <c r="U92" s="586"/>
      <c r="V92" s="588" t="s">
        <v>75</v>
      </c>
      <c r="W92" s="586"/>
      <c r="X92" s="588" t="s">
        <v>722</v>
      </c>
      <c r="Y92" s="588" t="s">
        <v>161</v>
      </c>
      <c r="Z92" s="588" t="str">
        <f t="shared" si="20"/>
        <v/>
      </c>
      <c r="AA92" s="592" t="s">
        <v>6</v>
      </c>
      <c r="AB92" s="597" t="str">
        <f t="shared" si="21"/>
        <v/>
      </c>
      <c r="AC92" s="602" t="str">
        <f>IFERROR(ROUNDDOWN(ROUNDDOWN(ROUND(L92*VLOOKUP(K92,'【参考】数式用'!$A$4:$F$57,MATCH("処遇改善加算Ⅳ",'【参考】数式用'!$C$3:$F$3,0)+2,0),0)*M92,0)*Z92*0.5,0),"")</f>
        <v/>
      </c>
      <c r="AD92" s="608"/>
      <c r="AE92" s="616"/>
      <c r="AF92" s="616"/>
      <c r="AG92" s="622"/>
      <c r="AH92" s="625"/>
      <c r="AI92" s="632"/>
      <c r="AJ92" s="632"/>
      <c r="AK92" s="647" t="str">
        <f t="shared" si="22"/>
        <v/>
      </c>
      <c r="AL92" s="650" t="str">
        <f t="shared" si="37"/>
        <v/>
      </c>
      <c r="AM92" s="653"/>
      <c r="AN92" s="656" t="str">
        <f>IFERROR(VLOOKUP(K92,'【参考】数式用'!$A$2:$N$57,14,FALSE),"")</f>
        <v/>
      </c>
      <c r="AO92" s="656" t="str">
        <f t="shared" si="23"/>
        <v/>
      </c>
      <c r="AP92" s="661" t="str">
        <f t="shared" si="24"/>
        <v/>
      </c>
      <c r="AQ92" s="661" t="str">
        <f t="shared" si="25"/>
        <v>入力済</v>
      </c>
      <c r="AR92" s="656" t="str">
        <f t="shared" si="26"/>
        <v/>
      </c>
      <c r="AS92" s="661" t="str">
        <f t="shared" si="27"/>
        <v>入力済</v>
      </c>
      <c r="AT92" s="661" t="str">
        <f t="shared" si="28"/>
        <v/>
      </c>
      <c r="AU92" s="661" t="str">
        <f t="shared" si="29"/>
        <v/>
      </c>
      <c r="AV92" s="656" t="str">
        <f t="shared" si="30"/>
        <v/>
      </c>
      <c r="AW92" s="656" t="str">
        <f t="shared" si="31"/>
        <v>入力済</v>
      </c>
      <c r="AX92" s="661" t="str">
        <f>IFERROR(VLOOKUP(K92,'【参考】数式用'!$AR$3:$AS$49,2,FALSE),"")</f>
        <v/>
      </c>
      <c r="AY92" s="656" t="str">
        <f t="shared" si="32"/>
        <v/>
      </c>
      <c r="AZ92" s="656" t="str">
        <f t="shared" si="19"/>
        <v>入力済</v>
      </c>
      <c r="BA92" s="661" t="str">
        <f>IFERROR(VLOOKUP(K92,'【参考】数式用'!$AX$3:$AY$56,2,FALSE),"")</f>
        <v/>
      </c>
      <c r="BB92" s="656" t="str">
        <f t="shared" si="33"/>
        <v/>
      </c>
      <c r="BC92" s="672" t="str">
        <f t="shared" si="34"/>
        <v>入力済</v>
      </c>
      <c r="BD92" s="656" t="str">
        <f t="shared" si="35"/>
        <v/>
      </c>
      <c r="BE92" s="656" t="str">
        <f t="shared" si="36"/>
        <v/>
      </c>
      <c r="BF92" s="658"/>
      <c r="BG92" s="658"/>
      <c r="BH92" s="680" t="e">
        <f>VLOOKUP(K92,'【参考】数式用'!$A$2:$O$57,15,FALSE)</f>
        <v>#N/A</v>
      </c>
      <c r="BI92" s="658"/>
      <c r="BJ92" s="658"/>
      <c r="BK92" s="658"/>
      <c r="BL92" s="658"/>
      <c r="BM92" s="658"/>
      <c r="BN92" s="658"/>
      <c r="BO92" s="675"/>
    </row>
    <row r="93" spans="1:67" s="494" customFormat="1"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IF(基本情報入力シート!AG121="","",基本情報入力シート!AG121)</f>
        <v/>
      </c>
      <c r="N93" s="569"/>
      <c r="O93" s="574" t="str">
        <f>IFERROR(VLOOKUP(K93,'【参考】数式用'!$A$2:$F$57,MATCH(N93,'【参考】数式用'!$C$3:$F$3,0)+2,0),"")</f>
        <v/>
      </c>
      <c r="P93" s="581" t="s">
        <v>543</v>
      </c>
      <c r="Q93" s="586"/>
      <c r="R93" s="588" t="s">
        <v>75</v>
      </c>
      <c r="S93" s="586"/>
      <c r="T93" s="588" t="s">
        <v>159</v>
      </c>
      <c r="U93" s="586"/>
      <c r="V93" s="588" t="s">
        <v>75</v>
      </c>
      <c r="W93" s="586"/>
      <c r="X93" s="588" t="s">
        <v>10</v>
      </c>
      <c r="Y93" s="588" t="s">
        <v>161</v>
      </c>
      <c r="Z93" s="588" t="str">
        <f t="shared" si="20"/>
        <v/>
      </c>
      <c r="AA93" s="592" t="s">
        <v>6</v>
      </c>
      <c r="AB93" s="597" t="str">
        <f t="shared" si="21"/>
        <v/>
      </c>
      <c r="AC93" s="602" t="str">
        <f>IFERROR(ROUNDDOWN(ROUNDDOWN(ROUND(L93*VLOOKUP(K93,'【参考】数式用'!$A$4:$F$57,MATCH("処遇改善加算Ⅳ",'【参考】数式用'!$C$3:$F$3,0)+2,0),0)*M93,0)*Z93*0.5,0),"")</f>
        <v/>
      </c>
      <c r="AD93" s="608"/>
      <c r="AE93" s="616"/>
      <c r="AF93" s="616"/>
      <c r="AG93" s="622"/>
      <c r="AH93" s="625"/>
      <c r="AI93" s="632"/>
      <c r="AJ93" s="632"/>
      <c r="AK93" s="647" t="str">
        <f t="shared" si="22"/>
        <v/>
      </c>
      <c r="AL93" s="650" t="str">
        <f t="shared" si="37"/>
        <v/>
      </c>
      <c r="AM93" s="653"/>
      <c r="AN93" s="656" t="str">
        <f>IFERROR(VLOOKUP(K93,'【参考】数式用'!$A$2:$N$57,14,FALSE),"")</f>
        <v/>
      </c>
      <c r="AO93" s="656" t="str">
        <f t="shared" si="23"/>
        <v/>
      </c>
      <c r="AP93" s="661" t="str">
        <f t="shared" si="24"/>
        <v/>
      </c>
      <c r="AQ93" s="661" t="str">
        <f t="shared" si="25"/>
        <v>入力済</v>
      </c>
      <c r="AR93" s="656" t="str">
        <f t="shared" si="26"/>
        <v/>
      </c>
      <c r="AS93" s="661" t="str">
        <f t="shared" si="27"/>
        <v>入力済</v>
      </c>
      <c r="AT93" s="661" t="str">
        <f t="shared" si="28"/>
        <v/>
      </c>
      <c r="AU93" s="661" t="str">
        <f t="shared" si="29"/>
        <v/>
      </c>
      <c r="AV93" s="656" t="str">
        <f t="shared" si="30"/>
        <v/>
      </c>
      <c r="AW93" s="656" t="str">
        <f t="shared" si="31"/>
        <v>入力済</v>
      </c>
      <c r="AX93" s="661" t="str">
        <f>IFERROR(VLOOKUP(K93,'【参考】数式用'!$AR$3:$AS$49,2,FALSE),"")</f>
        <v/>
      </c>
      <c r="AY93" s="656" t="str">
        <f t="shared" si="32"/>
        <v/>
      </c>
      <c r="AZ93" s="656" t="str">
        <f t="shared" si="19"/>
        <v>入力済</v>
      </c>
      <c r="BA93" s="661" t="str">
        <f>IFERROR(VLOOKUP(K93,'【参考】数式用'!$AX$3:$AY$56,2,FALSE),"")</f>
        <v/>
      </c>
      <c r="BB93" s="656" t="str">
        <f t="shared" si="33"/>
        <v/>
      </c>
      <c r="BC93" s="672" t="str">
        <f t="shared" si="34"/>
        <v>入力済</v>
      </c>
      <c r="BD93" s="656" t="str">
        <f t="shared" si="35"/>
        <v/>
      </c>
      <c r="BE93" s="656" t="str">
        <f t="shared" si="36"/>
        <v/>
      </c>
      <c r="BF93" s="658"/>
      <c r="BG93" s="658"/>
      <c r="BH93" s="680" t="e">
        <f>VLOOKUP(K93,'【参考】数式用'!$A$2:$O$57,15,FALSE)</f>
        <v>#N/A</v>
      </c>
      <c r="BI93" s="658"/>
      <c r="BJ93" s="658"/>
      <c r="BK93" s="658"/>
      <c r="BL93" s="658"/>
      <c r="BM93" s="658"/>
      <c r="BN93" s="658"/>
      <c r="BO93" s="675"/>
    </row>
    <row r="94" spans="1:67" s="494" customFormat="1"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IF(基本情報入力シート!AG122="","",基本情報入力シート!AG122)</f>
        <v/>
      </c>
      <c r="N94" s="569"/>
      <c r="O94" s="574" t="str">
        <f>IFERROR(VLOOKUP(K94,'【参考】数式用'!$A$2:$F$57,MATCH(N94,'【参考】数式用'!$C$3:$F$3,0)+2,0),"")</f>
        <v/>
      </c>
      <c r="P94" s="581" t="s">
        <v>543</v>
      </c>
      <c r="Q94" s="586"/>
      <c r="R94" s="588" t="s">
        <v>75</v>
      </c>
      <c r="S94" s="586"/>
      <c r="T94" s="588" t="s">
        <v>159</v>
      </c>
      <c r="U94" s="586"/>
      <c r="V94" s="588" t="s">
        <v>75</v>
      </c>
      <c r="W94" s="586"/>
      <c r="X94" s="588" t="s">
        <v>722</v>
      </c>
      <c r="Y94" s="588" t="s">
        <v>161</v>
      </c>
      <c r="Z94" s="588" t="str">
        <f t="shared" si="20"/>
        <v/>
      </c>
      <c r="AA94" s="592" t="s">
        <v>6</v>
      </c>
      <c r="AB94" s="597" t="str">
        <f t="shared" si="21"/>
        <v/>
      </c>
      <c r="AC94" s="602" t="str">
        <f>IFERROR(ROUNDDOWN(ROUNDDOWN(ROUND(L94*VLOOKUP(K94,'【参考】数式用'!$A$4:$F$57,MATCH("処遇改善加算Ⅳ",'【参考】数式用'!$C$3:$F$3,0)+2,0),0)*M94,0)*Z94*0.5,0),"")</f>
        <v/>
      </c>
      <c r="AD94" s="608"/>
      <c r="AE94" s="616"/>
      <c r="AF94" s="616"/>
      <c r="AG94" s="622"/>
      <c r="AH94" s="625"/>
      <c r="AI94" s="632"/>
      <c r="AJ94" s="632"/>
      <c r="AK94" s="647" t="str">
        <f t="shared" si="22"/>
        <v/>
      </c>
      <c r="AL94" s="650" t="str">
        <f t="shared" si="37"/>
        <v/>
      </c>
      <c r="AM94" s="653"/>
      <c r="AN94" s="656" t="str">
        <f>IFERROR(VLOOKUP(K94,'【参考】数式用'!$A$2:$N$57,14,FALSE),"")</f>
        <v/>
      </c>
      <c r="AO94" s="656" t="str">
        <f t="shared" si="23"/>
        <v/>
      </c>
      <c r="AP94" s="661" t="str">
        <f t="shared" si="24"/>
        <v/>
      </c>
      <c r="AQ94" s="661" t="str">
        <f t="shared" si="25"/>
        <v>入力済</v>
      </c>
      <c r="AR94" s="656" t="str">
        <f t="shared" si="26"/>
        <v/>
      </c>
      <c r="AS94" s="661" t="str">
        <f t="shared" si="27"/>
        <v>入力済</v>
      </c>
      <c r="AT94" s="661" t="str">
        <f t="shared" si="28"/>
        <v/>
      </c>
      <c r="AU94" s="661" t="str">
        <f t="shared" si="29"/>
        <v/>
      </c>
      <c r="AV94" s="656" t="str">
        <f t="shared" si="30"/>
        <v/>
      </c>
      <c r="AW94" s="656" t="str">
        <f t="shared" si="31"/>
        <v>入力済</v>
      </c>
      <c r="AX94" s="661" t="str">
        <f>IFERROR(VLOOKUP(K94,'【参考】数式用'!$AR$3:$AS$49,2,FALSE),"")</f>
        <v/>
      </c>
      <c r="AY94" s="656" t="str">
        <f t="shared" si="32"/>
        <v/>
      </c>
      <c r="AZ94" s="656" t="str">
        <f t="shared" ref="AZ94:AZ111" si="38">IF(AND(N94="処遇改善加算Ⅰ",AI94=""),"未入力","入力済")</f>
        <v>入力済</v>
      </c>
      <c r="BA94" s="661" t="str">
        <f>IFERROR(VLOOKUP(K94,'【参考】数式用'!$AX$3:$AY$56,2,FALSE),"")</f>
        <v/>
      </c>
      <c r="BB94" s="656" t="str">
        <f t="shared" si="33"/>
        <v/>
      </c>
      <c r="BC94" s="672" t="str">
        <f t="shared" si="34"/>
        <v>入力済</v>
      </c>
      <c r="BD94" s="656" t="str">
        <f t="shared" si="35"/>
        <v/>
      </c>
      <c r="BE94" s="656" t="str">
        <f t="shared" si="36"/>
        <v/>
      </c>
      <c r="BF94" s="658"/>
      <c r="BG94" s="658"/>
      <c r="BH94" s="680" t="e">
        <f>VLOOKUP(K94,'【参考】数式用'!$A$2:$O$57,15,FALSE)</f>
        <v>#N/A</v>
      </c>
      <c r="BI94" s="658"/>
      <c r="BJ94" s="658"/>
      <c r="BK94" s="658"/>
      <c r="BL94" s="658"/>
      <c r="BM94" s="658"/>
      <c r="BN94" s="658"/>
      <c r="BO94" s="675"/>
    </row>
    <row r="95" spans="1:67" s="494" customFormat="1"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IF(基本情報入力シート!AG123="","",基本情報入力シート!AG123)</f>
        <v/>
      </c>
      <c r="N95" s="569"/>
      <c r="O95" s="574" t="str">
        <f>IFERROR(VLOOKUP(K95,'【参考】数式用'!$A$2:$F$57,MATCH(N95,'【参考】数式用'!$C$3:$F$3,0)+2,0),"")</f>
        <v/>
      </c>
      <c r="P95" s="581" t="s">
        <v>543</v>
      </c>
      <c r="Q95" s="586"/>
      <c r="R95" s="588" t="s">
        <v>75</v>
      </c>
      <c r="S95" s="586"/>
      <c r="T95" s="588" t="s">
        <v>159</v>
      </c>
      <c r="U95" s="586"/>
      <c r="V95" s="588" t="s">
        <v>75</v>
      </c>
      <c r="W95" s="586"/>
      <c r="X95" s="588" t="s">
        <v>722</v>
      </c>
      <c r="Y95" s="588" t="s">
        <v>161</v>
      </c>
      <c r="Z95" s="588" t="str">
        <f t="shared" si="20"/>
        <v/>
      </c>
      <c r="AA95" s="592" t="s">
        <v>6</v>
      </c>
      <c r="AB95" s="597" t="str">
        <f t="shared" si="21"/>
        <v/>
      </c>
      <c r="AC95" s="602" t="str">
        <f>IFERROR(ROUNDDOWN(ROUNDDOWN(ROUND(L95*VLOOKUP(K95,'【参考】数式用'!$A$4:$F$57,MATCH("処遇改善加算Ⅳ",'【参考】数式用'!$C$3:$F$3,0)+2,0),0)*M95,0)*Z95*0.5,0),"")</f>
        <v/>
      </c>
      <c r="AD95" s="608"/>
      <c r="AE95" s="616"/>
      <c r="AF95" s="616"/>
      <c r="AG95" s="622"/>
      <c r="AH95" s="625"/>
      <c r="AI95" s="632"/>
      <c r="AJ95" s="632"/>
      <c r="AK95" s="647" t="str">
        <f t="shared" si="22"/>
        <v/>
      </c>
      <c r="AL95" s="650" t="str">
        <f t="shared" si="37"/>
        <v/>
      </c>
      <c r="AM95" s="653"/>
      <c r="AN95" s="656" t="str">
        <f>IFERROR(VLOOKUP(K95,'【参考】数式用'!$A$2:$N$57,14,FALSE),"")</f>
        <v/>
      </c>
      <c r="AO95" s="656" t="str">
        <f t="shared" si="23"/>
        <v/>
      </c>
      <c r="AP95" s="661" t="str">
        <f t="shared" si="24"/>
        <v/>
      </c>
      <c r="AQ95" s="661" t="str">
        <f t="shared" si="25"/>
        <v>入力済</v>
      </c>
      <c r="AR95" s="656" t="str">
        <f t="shared" si="26"/>
        <v/>
      </c>
      <c r="AS95" s="661" t="str">
        <f t="shared" si="27"/>
        <v>入力済</v>
      </c>
      <c r="AT95" s="661" t="str">
        <f t="shared" si="28"/>
        <v/>
      </c>
      <c r="AU95" s="661" t="str">
        <f t="shared" si="29"/>
        <v/>
      </c>
      <c r="AV95" s="656" t="str">
        <f t="shared" si="30"/>
        <v/>
      </c>
      <c r="AW95" s="656" t="str">
        <f t="shared" si="31"/>
        <v>入力済</v>
      </c>
      <c r="AX95" s="661" t="str">
        <f>IFERROR(VLOOKUP(K95,'【参考】数式用'!$AR$3:$AS$49,2,FALSE),"")</f>
        <v/>
      </c>
      <c r="AY95" s="656" t="str">
        <f t="shared" si="32"/>
        <v/>
      </c>
      <c r="AZ95" s="656" t="str">
        <f t="shared" si="38"/>
        <v>入力済</v>
      </c>
      <c r="BA95" s="661" t="str">
        <f>IFERROR(VLOOKUP(K95,'【参考】数式用'!$AX$3:$AY$56,2,FALSE),"")</f>
        <v/>
      </c>
      <c r="BB95" s="656" t="str">
        <f t="shared" si="33"/>
        <v/>
      </c>
      <c r="BC95" s="672" t="str">
        <f t="shared" si="34"/>
        <v>入力済</v>
      </c>
      <c r="BD95" s="656" t="str">
        <f t="shared" si="35"/>
        <v/>
      </c>
      <c r="BE95" s="656" t="str">
        <f t="shared" si="36"/>
        <v/>
      </c>
      <c r="BF95" s="658"/>
      <c r="BG95" s="658"/>
      <c r="BH95" s="680" t="e">
        <f>VLOOKUP(K95,'【参考】数式用'!$A$2:$O$57,15,FALSE)</f>
        <v>#N/A</v>
      </c>
      <c r="BI95" s="658"/>
      <c r="BJ95" s="658"/>
      <c r="BK95" s="658"/>
      <c r="BL95" s="658"/>
      <c r="BM95" s="658"/>
      <c r="BN95" s="658"/>
      <c r="BO95" s="675"/>
    </row>
    <row r="96" spans="1:67" s="494" customFormat="1"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IF(基本情報入力シート!AG124="","",基本情報入力シート!AG124)</f>
        <v/>
      </c>
      <c r="N96" s="569"/>
      <c r="O96" s="574" t="str">
        <f>IFERROR(VLOOKUP(K96,'【参考】数式用'!$A$2:$F$57,MATCH(N96,'【参考】数式用'!$C$3:$F$3,0)+2,0),"")</f>
        <v/>
      </c>
      <c r="P96" s="581" t="s">
        <v>543</v>
      </c>
      <c r="Q96" s="586"/>
      <c r="R96" s="588" t="s">
        <v>75</v>
      </c>
      <c r="S96" s="586"/>
      <c r="T96" s="588" t="s">
        <v>159</v>
      </c>
      <c r="U96" s="586"/>
      <c r="V96" s="588" t="s">
        <v>75</v>
      </c>
      <c r="W96" s="586"/>
      <c r="X96" s="588" t="s">
        <v>722</v>
      </c>
      <c r="Y96" s="588" t="s">
        <v>161</v>
      </c>
      <c r="Z96" s="588" t="str">
        <f t="shared" si="20"/>
        <v/>
      </c>
      <c r="AA96" s="592" t="s">
        <v>6</v>
      </c>
      <c r="AB96" s="597" t="str">
        <f t="shared" si="21"/>
        <v/>
      </c>
      <c r="AC96" s="602" t="str">
        <f>IFERROR(ROUNDDOWN(ROUNDDOWN(ROUND(L96*VLOOKUP(K96,'【参考】数式用'!$A$4:$F$57,MATCH("処遇改善加算Ⅳ",'【参考】数式用'!$C$3:$F$3,0)+2,0),0)*M96,0)*Z96*0.5,0),"")</f>
        <v/>
      </c>
      <c r="AD96" s="608"/>
      <c r="AE96" s="616"/>
      <c r="AF96" s="616"/>
      <c r="AG96" s="622"/>
      <c r="AH96" s="625"/>
      <c r="AI96" s="632"/>
      <c r="AJ96" s="632"/>
      <c r="AK96" s="647" t="str">
        <f t="shared" si="22"/>
        <v/>
      </c>
      <c r="AL96" s="650" t="str">
        <f t="shared" si="37"/>
        <v/>
      </c>
      <c r="AM96" s="653"/>
      <c r="AN96" s="656" t="str">
        <f>IFERROR(VLOOKUP(K96,'【参考】数式用'!$A$2:$N$57,14,FALSE),"")</f>
        <v/>
      </c>
      <c r="AO96" s="656" t="str">
        <f t="shared" si="23"/>
        <v/>
      </c>
      <c r="AP96" s="661" t="str">
        <f t="shared" si="24"/>
        <v/>
      </c>
      <c r="AQ96" s="661" t="str">
        <f t="shared" si="25"/>
        <v>入力済</v>
      </c>
      <c r="AR96" s="656" t="str">
        <f t="shared" si="26"/>
        <v/>
      </c>
      <c r="AS96" s="661" t="str">
        <f t="shared" si="27"/>
        <v>入力済</v>
      </c>
      <c r="AT96" s="661" t="str">
        <f t="shared" si="28"/>
        <v/>
      </c>
      <c r="AU96" s="661" t="str">
        <f t="shared" si="29"/>
        <v/>
      </c>
      <c r="AV96" s="656" t="str">
        <f t="shared" si="30"/>
        <v/>
      </c>
      <c r="AW96" s="656" t="str">
        <f t="shared" si="31"/>
        <v>入力済</v>
      </c>
      <c r="AX96" s="661" t="str">
        <f>IFERROR(VLOOKUP(K96,'【参考】数式用'!$AR$3:$AS$49,2,FALSE),"")</f>
        <v/>
      </c>
      <c r="AY96" s="656" t="str">
        <f t="shared" si="32"/>
        <v/>
      </c>
      <c r="AZ96" s="656" t="str">
        <f t="shared" si="38"/>
        <v>入力済</v>
      </c>
      <c r="BA96" s="661" t="str">
        <f>IFERROR(VLOOKUP(K96,'【参考】数式用'!$AX$3:$AY$56,2,FALSE),"")</f>
        <v/>
      </c>
      <c r="BB96" s="656" t="str">
        <f t="shared" si="33"/>
        <v/>
      </c>
      <c r="BC96" s="672" t="str">
        <f t="shared" si="34"/>
        <v>入力済</v>
      </c>
      <c r="BD96" s="656" t="str">
        <f t="shared" si="35"/>
        <v/>
      </c>
      <c r="BE96" s="656" t="str">
        <f t="shared" si="36"/>
        <v/>
      </c>
      <c r="BF96" s="658"/>
      <c r="BG96" s="658"/>
      <c r="BH96" s="680" t="e">
        <f>VLOOKUP(K96,'【参考】数式用'!$A$2:$O$57,15,FALSE)</f>
        <v>#N/A</v>
      </c>
      <c r="BI96" s="658"/>
      <c r="BJ96" s="658"/>
      <c r="BK96" s="658"/>
      <c r="BL96" s="658"/>
      <c r="BM96" s="658"/>
      <c r="BN96" s="658"/>
      <c r="BO96" s="675"/>
    </row>
    <row r="97" spans="1:67" s="494" customFormat="1"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IF(基本情報入力シート!AG125="","",基本情報入力シート!AG125)</f>
        <v/>
      </c>
      <c r="N97" s="569"/>
      <c r="O97" s="574" t="str">
        <f>IFERROR(VLOOKUP(K97,'【参考】数式用'!$A$2:$F$57,MATCH(N97,'【参考】数式用'!$C$3:$F$3,0)+2,0),"")</f>
        <v/>
      </c>
      <c r="P97" s="581" t="s">
        <v>543</v>
      </c>
      <c r="Q97" s="586"/>
      <c r="R97" s="588" t="s">
        <v>75</v>
      </c>
      <c r="S97" s="586"/>
      <c r="T97" s="588" t="s">
        <v>159</v>
      </c>
      <c r="U97" s="586"/>
      <c r="V97" s="588" t="s">
        <v>75</v>
      </c>
      <c r="W97" s="586"/>
      <c r="X97" s="588" t="s">
        <v>10</v>
      </c>
      <c r="Y97" s="588" t="s">
        <v>161</v>
      </c>
      <c r="Z97" s="588" t="str">
        <f t="shared" si="20"/>
        <v/>
      </c>
      <c r="AA97" s="592" t="s">
        <v>6</v>
      </c>
      <c r="AB97" s="597" t="str">
        <f t="shared" si="21"/>
        <v/>
      </c>
      <c r="AC97" s="602" t="str">
        <f>IFERROR(ROUNDDOWN(ROUNDDOWN(ROUND(L97*VLOOKUP(K97,'【参考】数式用'!$A$4:$F$57,MATCH("処遇改善加算Ⅳ",'【参考】数式用'!$C$3:$F$3,0)+2,0),0)*M97,0)*Z97*0.5,0),"")</f>
        <v/>
      </c>
      <c r="AD97" s="608"/>
      <c r="AE97" s="616"/>
      <c r="AF97" s="616"/>
      <c r="AG97" s="622"/>
      <c r="AH97" s="625"/>
      <c r="AI97" s="632"/>
      <c r="AJ97" s="632"/>
      <c r="AK97" s="647" t="str">
        <f t="shared" si="22"/>
        <v/>
      </c>
      <c r="AL97" s="650" t="str">
        <f t="shared" si="37"/>
        <v/>
      </c>
      <c r="AM97" s="653"/>
      <c r="AN97" s="656" t="str">
        <f>IFERROR(VLOOKUP(K97,'【参考】数式用'!$A$2:$N$57,14,FALSE),"")</f>
        <v/>
      </c>
      <c r="AO97" s="656" t="str">
        <f t="shared" si="23"/>
        <v/>
      </c>
      <c r="AP97" s="661" t="str">
        <f t="shared" si="24"/>
        <v/>
      </c>
      <c r="AQ97" s="661" t="str">
        <f t="shared" si="25"/>
        <v>入力済</v>
      </c>
      <c r="AR97" s="656" t="str">
        <f t="shared" si="26"/>
        <v/>
      </c>
      <c r="AS97" s="661" t="str">
        <f t="shared" si="27"/>
        <v>入力済</v>
      </c>
      <c r="AT97" s="661" t="str">
        <f t="shared" si="28"/>
        <v/>
      </c>
      <c r="AU97" s="661" t="str">
        <f t="shared" si="29"/>
        <v/>
      </c>
      <c r="AV97" s="656" t="str">
        <f t="shared" si="30"/>
        <v/>
      </c>
      <c r="AW97" s="656" t="str">
        <f t="shared" si="31"/>
        <v>入力済</v>
      </c>
      <c r="AX97" s="661" t="str">
        <f>IFERROR(VLOOKUP(K97,'【参考】数式用'!$AR$3:$AS$49,2,FALSE),"")</f>
        <v/>
      </c>
      <c r="AY97" s="656" t="str">
        <f t="shared" si="32"/>
        <v/>
      </c>
      <c r="AZ97" s="656" t="str">
        <f t="shared" si="38"/>
        <v>入力済</v>
      </c>
      <c r="BA97" s="661" t="str">
        <f>IFERROR(VLOOKUP(K97,'【参考】数式用'!$AX$3:$AY$56,2,FALSE),"")</f>
        <v/>
      </c>
      <c r="BB97" s="656" t="str">
        <f t="shared" si="33"/>
        <v/>
      </c>
      <c r="BC97" s="672" t="str">
        <f t="shared" si="34"/>
        <v>入力済</v>
      </c>
      <c r="BD97" s="656" t="str">
        <f t="shared" si="35"/>
        <v/>
      </c>
      <c r="BE97" s="656" t="str">
        <f t="shared" si="36"/>
        <v/>
      </c>
      <c r="BF97" s="658"/>
      <c r="BG97" s="658"/>
      <c r="BH97" s="680" t="e">
        <f>VLOOKUP(K97,'【参考】数式用'!$A$2:$O$57,15,FALSE)</f>
        <v>#N/A</v>
      </c>
      <c r="BI97" s="658"/>
      <c r="BJ97" s="658"/>
      <c r="BK97" s="658"/>
      <c r="BL97" s="658"/>
      <c r="BM97" s="658"/>
      <c r="BN97" s="658"/>
      <c r="BO97" s="675"/>
    </row>
    <row r="98" spans="1:67" s="494" customFormat="1"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IF(基本情報入力シート!AG126="","",基本情報入力シート!AG126)</f>
        <v/>
      </c>
      <c r="N98" s="569"/>
      <c r="O98" s="574" t="str">
        <f>IFERROR(VLOOKUP(K98,'【参考】数式用'!$A$2:$F$57,MATCH(N98,'【参考】数式用'!$C$3:$F$3,0)+2,0),"")</f>
        <v/>
      </c>
      <c r="P98" s="581" t="s">
        <v>543</v>
      </c>
      <c r="Q98" s="586"/>
      <c r="R98" s="588" t="s">
        <v>75</v>
      </c>
      <c r="S98" s="586"/>
      <c r="T98" s="588" t="s">
        <v>159</v>
      </c>
      <c r="U98" s="586"/>
      <c r="V98" s="588" t="s">
        <v>75</v>
      </c>
      <c r="W98" s="586"/>
      <c r="X98" s="588" t="s">
        <v>10</v>
      </c>
      <c r="Y98" s="588" t="s">
        <v>161</v>
      </c>
      <c r="Z98" s="588" t="str">
        <f t="shared" si="20"/>
        <v/>
      </c>
      <c r="AA98" s="592" t="s">
        <v>6</v>
      </c>
      <c r="AB98" s="597" t="str">
        <f t="shared" si="21"/>
        <v/>
      </c>
      <c r="AC98" s="602" t="str">
        <f>IFERROR(ROUNDDOWN(ROUNDDOWN(ROUND(L98*VLOOKUP(K98,'【参考】数式用'!$A$4:$F$57,MATCH("処遇改善加算Ⅳ",'【参考】数式用'!$C$3:$F$3,0)+2,0),0)*M98,0)*Z98*0.5,0),"")</f>
        <v/>
      </c>
      <c r="AD98" s="608"/>
      <c r="AE98" s="616"/>
      <c r="AF98" s="616"/>
      <c r="AG98" s="622"/>
      <c r="AH98" s="625"/>
      <c r="AI98" s="632"/>
      <c r="AJ98" s="632"/>
      <c r="AK98" s="647" t="str">
        <f t="shared" si="22"/>
        <v/>
      </c>
      <c r="AL98" s="650" t="str">
        <f t="shared" si="37"/>
        <v/>
      </c>
      <c r="AM98" s="653"/>
      <c r="AN98" s="656" t="str">
        <f>IFERROR(VLOOKUP(K98,'【参考】数式用'!$A$2:$N$57,14,FALSE),"")</f>
        <v/>
      </c>
      <c r="AO98" s="656" t="str">
        <f t="shared" si="23"/>
        <v/>
      </c>
      <c r="AP98" s="661" t="str">
        <f t="shared" si="24"/>
        <v/>
      </c>
      <c r="AQ98" s="661" t="str">
        <f t="shared" si="25"/>
        <v>入力済</v>
      </c>
      <c r="AR98" s="656" t="str">
        <f t="shared" si="26"/>
        <v/>
      </c>
      <c r="AS98" s="661" t="str">
        <f t="shared" si="27"/>
        <v>入力済</v>
      </c>
      <c r="AT98" s="661" t="str">
        <f t="shared" si="28"/>
        <v/>
      </c>
      <c r="AU98" s="661" t="str">
        <f t="shared" si="29"/>
        <v/>
      </c>
      <c r="AV98" s="656" t="str">
        <f t="shared" si="30"/>
        <v/>
      </c>
      <c r="AW98" s="656" t="str">
        <f t="shared" si="31"/>
        <v>入力済</v>
      </c>
      <c r="AX98" s="661" t="str">
        <f>IFERROR(VLOOKUP(K98,'【参考】数式用'!$AR$3:$AS$49,2,FALSE),"")</f>
        <v/>
      </c>
      <c r="AY98" s="656" t="str">
        <f t="shared" si="32"/>
        <v/>
      </c>
      <c r="AZ98" s="656" t="str">
        <f t="shared" si="38"/>
        <v>入力済</v>
      </c>
      <c r="BA98" s="661" t="str">
        <f>IFERROR(VLOOKUP(K98,'【参考】数式用'!$AX$3:$AY$56,2,FALSE),"")</f>
        <v/>
      </c>
      <c r="BB98" s="656" t="str">
        <f t="shared" si="33"/>
        <v/>
      </c>
      <c r="BC98" s="672" t="str">
        <f t="shared" si="34"/>
        <v>入力済</v>
      </c>
      <c r="BD98" s="656" t="str">
        <f t="shared" si="35"/>
        <v/>
      </c>
      <c r="BE98" s="656" t="str">
        <f t="shared" si="36"/>
        <v/>
      </c>
      <c r="BF98" s="658"/>
      <c r="BG98" s="658"/>
      <c r="BH98" s="680" t="e">
        <f>VLOOKUP(K98,'【参考】数式用'!$A$2:$O$57,15,FALSE)</f>
        <v>#N/A</v>
      </c>
      <c r="BI98" s="658"/>
      <c r="BJ98" s="658"/>
      <c r="BK98" s="658"/>
      <c r="BL98" s="658"/>
      <c r="BM98" s="658"/>
      <c r="BN98" s="658"/>
      <c r="BO98" s="675"/>
    </row>
    <row r="99" spans="1:67" s="494" customFormat="1"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IF(基本情報入力シート!AG127="","",基本情報入力シート!AG127)</f>
        <v/>
      </c>
      <c r="N99" s="569"/>
      <c r="O99" s="574" t="str">
        <f>IFERROR(VLOOKUP(K99,'【参考】数式用'!$A$2:$F$57,MATCH(N99,'【参考】数式用'!$C$3:$F$3,0)+2,0),"")</f>
        <v/>
      </c>
      <c r="P99" s="581" t="s">
        <v>543</v>
      </c>
      <c r="Q99" s="586"/>
      <c r="R99" s="588" t="s">
        <v>75</v>
      </c>
      <c r="S99" s="586"/>
      <c r="T99" s="588" t="s">
        <v>159</v>
      </c>
      <c r="U99" s="586"/>
      <c r="V99" s="588" t="s">
        <v>75</v>
      </c>
      <c r="W99" s="586"/>
      <c r="X99" s="588" t="s">
        <v>722</v>
      </c>
      <c r="Y99" s="588" t="s">
        <v>161</v>
      </c>
      <c r="Z99" s="588" t="str">
        <f t="shared" si="20"/>
        <v/>
      </c>
      <c r="AA99" s="592" t="s">
        <v>6</v>
      </c>
      <c r="AB99" s="597" t="str">
        <f t="shared" si="21"/>
        <v/>
      </c>
      <c r="AC99" s="602" t="str">
        <f>IFERROR(ROUNDDOWN(ROUNDDOWN(ROUND(L99*VLOOKUP(K99,'【参考】数式用'!$A$4:$F$57,MATCH("処遇改善加算Ⅳ",'【参考】数式用'!$C$3:$F$3,0)+2,0),0)*M99,0)*Z99*0.5,0),"")</f>
        <v/>
      </c>
      <c r="AD99" s="608"/>
      <c r="AE99" s="616"/>
      <c r="AF99" s="616"/>
      <c r="AG99" s="622"/>
      <c r="AH99" s="625"/>
      <c r="AI99" s="632"/>
      <c r="AJ99" s="632"/>
      <c r="AK99" s="647" t="str">
        <f t="shared" si="22"/>
        <v/>
      </c>
      <c r="AL99" s="650" t="str">
        <f t="shared" si="37"/>
        <v/>
      </c>
      <c r="AM99" s="653"/>
      <c r="AN99" s="656" t="str">
        <f>IFERROR(VLOOKUP(K99,'【参考】数式用'!$A$2:$N$57,14,FALSE),"")</f>
        <v/>
      </c>
      <c r="AO99" s="656" t="str">
        <f t="shared" si="23"/>
        <v/>
      </c>
      <c r="AP99" s="661" t="str">
        <f t="shared" si="24"/>
        <v/>
      </c>
      <c r="AQ99" s="661" t="str">
        <f t="shared" si="25"/>
        <v>入力済</v>
      </c>
      <c r="AR99" s="656" t="str">
        <f t="shared" si="26"/>
        <v/>
      </c>
      <c r="AS99" s="661" t="str">
        <f t="shared" si="27"/>
        <v>入力済</v>
      </c>
      <c r="AT99" s="661" t="str">
        <f t="shared" si="28"/>
        <v/>
      </c>
      <c r="AU99" s="661" t="str">
        <f t="shared" si="29"/>
        <v/>
      </c>
      <c r="AV99" s="656" t="str">
        <f t="shared" si="30"/>
        <v/>
      </c>
      <c r="AW99" s="656" t="str">
        <f t="shared" si="31"/>
        <v>入力済</v>
      </c>
      <c r="AX99" s="661" t="str">
        <f>IFERROR(VLOOKUP(K99,'【参考】数式用'!$AR$3:$AS$49,2,FALSE),"")</f>
        <v/>
      </c>
      <c r="AY99" s="656" t="str">
        <f t="shared" si="32"/>
        <v/>
      </c>
      <c r="AZ99" s="656" t="str">
        <f t="shared" si="38"/>
        <v>入力済</v>
      </c>
      <c r="BA99" s="661" t="str">
        <f>IFERROR(VLOOKUP(K99,'【参考】数式用'!$AX$3:$AY$56,2,FALSE),"")</f>
        <v/>
      </c>
      <c r="BB99" s="656" t="str">
        <f t="shared" si="33"/>
        <v/>
      </c>
      <c r="BC99" s="672" t="str">
        <f t="shared" si="34"/>
        <v>入力済</v>
      </c>
      <c r="BD99" s="656" t="str">
        <f t="shared" si="35"/>
        <v/>
      </c>
      <c r="BE99" s="656" t="str">
        <f t="shared" si="36"/>
        <v/>
      </c>
      <c r="BF99" s="658"/>
      <c r="BG99" s="658"/>
      <c r="BH99" s="680" t="e">
        <f>VLOOKUP(K99,'【参考】数式用'!$A$2:$O$57,15,FALSE)</f>
        <v>#N/A</v>
      </c>
      <c r="BI99" s="658"/>
      <c r="BJ99" s="658"/>
      <c r="BK99" s="658"/>
      <c r="BL99" s="658"/>
      <c r="BM99" s="658"/>
      <c r="BN99" s="658"/>
      <c r="BO99" s="675"/>
    </row>
    <row r="100" spans="1:67" s="494" customFormat="1"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IF(基本情報入力シート!AG128="","",基本情報入力シート!AG128)</f>
        <v/>
      </c>
      <c r="N100" s="569"/>
      <c r="O100" s="574" t="str">
        <f>IFERROR(VLOOKUP(K100,'【参考】数式用'!$A$2:$F$57,MATCH(N100,'【参考】数式用'!$C$3:$F$3,0)+2,0),"")</f>
        <v/>
      </c>
      <c r="P100" s="581" t="s">
        <v>543</v>
      </c>
      <c r="Q100" s="586"/>
      <c r="R100" s="588" t="s">
        <v>75</v>
      </c>
      <c r="S100" s="586"/>
      <c r="T100" s="588" t="s">
        <v>159</v>
      </c>
      <c r="U100" s="586"/>
      <c r="V100" s="588" t="s">
        <v>75</v>
      </c>
      <c r="W100" s="586"/>
      <c r="X100" s="588" t="s">
        <v>722</v>
      </c>
      <c r="Y100" s="588" t="s">
        <v>161</v>
      </c>
      <c r="Z100" s="588" t="str">
        <f t="shared" si="20"/>
        <v/>
      </c>
      <c r="AA100" s="592" t="s">
        <v>6</v>
      </c>
      <c r="AB100" s="597" t="str">
        <f t="shared" si="21"/>
        <v/>
      </c>
      <c r="AC100" s="602" t="str">
        <f>IFERROR(ROUNDDOWN(ROUNDDOWN(ROUND(L100*VLOOKUP(K100,'【参考】数式用'!$A$4:$F$57,MATCH("処遇改善加算Ⅳ",'【参考】数式用'!$C$3:$F$3,0)+2,0),0)*M100,0)*Z100*0.5,0),"")</f>
        <v/>
      </c>
      <c r="AD100" s="608"/>
      <c r="AE100" s="616"/>
      <c r="AF100" s="616"/>
      <c r="AG100" s="622"/>
      <c r="AH100" s="625"/>
      <c r="AI100" s="632"/>
      <c r="AJ100" s="632"/>
      <c r="AK100" s="647" t="str">
        <f t="shared" si="22"/>
        <v/>
      </c>
      <c r="AL100" s="650" t="str">
        <f t="shared" si="37"/>
        <v/>
      </c>
      <c r="AM100" s="653"/>
      <c r="AN100" s="656" t="str">
        <f>IFERROR(VLOOKUP(K100,'【参考】数式用'!$A$2:$N$57,14,FALSE),"")</f>
        <v/>
      </c>
      <c r="AO100" s="656" t="str">
        <f t="shared" si="23"/>
        <v/>
      </c>
      <c r="AP100" s="661" t="str">
        <f t="shared" si="24"/>
        <v/>
      </c>
      <c r="AQ100" s="661" t="str">
        <f t="shared" si="25"/>
        <v>入力済</v>
      </c>
      <c r="AR100" s="656" t="str">
        <f t="shared" si="26"/>
        <v/>
      </c>
      <c r="AS100" s="661" t="str">
        <f t="shared" si="27"/>
        <v>入力済</v>
      </c>
      <c r="AT100" s="661" t="str">
        <f t="shared" si="28"/>
        <v/>
      </c>
      <c r="AU100" s="661" t="str">
        <f t="shared" si="29"/>
        <v/>
      </c>
      <c r="AV100" s="656" t="str">
        <f t="shared" si="30"/>
        <v/>
      </c>
      <c r="AW100" s="656" t="str">
        <f t="shared" si="31"/>
        <v>入力済</v>
      </c>
      <c r="AX100" s="661" t="str">
        <f>IFERROR(VLOOKUP(K100,'【参考】数式用'!$AR$3:$AS$49,2,FALSE),"")</f>
        <v/>
      </c>
      <c r="AY100" s="656" t="str">
        <f t="shared" si="32"/>
        <v/>
      </c>
      <c r="AZ100" s="656" t="str">
        <f t="shared" si="38"/>
        <v>入力済</v>
      </c>
      <c r="BA100" s="661" t="str">
        <f>IFERROR(VLOOKUP(K100,'【参考】数式用'!$AX$3:$AY$56,2,FALSE),"")</f>
        <v/>
      </c>
      <c r="BB100" s="656" t="str">
        <f t="shared" si="33"/>
        <v/>
      </c>
      <c r="BC100" s="672" t="str">
        <f t="shared" si="34"/>
        <v>入力済</v>
      </c>
      <c r="BD100" s="656" t="str">
        <f t="shared" si="35"/>
        <v/>
      </c>
      <c r="BE100" s="656" t="str">
        <f t="shared" si="36"/>
        <v/>
      </c>
      <c r="BF100" s="658"/>
      <c r="BG100" s="658"/>
      <c r="BH100" s="680" t="e">
        <f>VLOOKUP(K100,'【参考】数式用'!$A$2:$O$57,15,FALSE)</f>
        <v>#N/A</v>
      </c>
      <c r="BI100" s="658"/>
      <c r="BJ100" s="658"/>
      <c r="BK100" s="658"/>
      <c r="BL100" s="658"/>
      <c r="BM100" s="658"/>
      <c r="BN100" s="658"/>
      <c r="BO100" s="675"/>
    </row>
    <row r="101" spans="1:67" s="494" customFormat="1"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IF(基本情報入力シート!AG129="","",基本情報入力シート!AG129)</f>
        <v/>
      </c>
      <c r="N101" s="569"/>
      <c r="O101" s="574" t="str">
        <f>IFERROR(VLOOKUP(K101,'【参考】数式用'!$A$2:$F$57,MATCH(N101,'【参考】数式用'!$C$3:$F$3,0)+2,0),"")</f>
        <v/>
      </c>
      <c r="P101" s="581" t="s">
        <v>543</v>
      </c>
      <c r="Q101" s="586"/>
      <c r="R101" s="588" t="s">
        <v>75</v>
      </c>
      <c r="S101" s="586"/>
      <c r="T101" s="588" t="s">
        <v>159</v>
      </c>
      <c r="U101" s="586"/>
      <c r="V101" s="588" t="s">
        <v>75</v>
      </c>
      <c r="W101" s="586"/>
      <c r="X101" s="588" t="s">
        <v>722</v>
      </c>
      <c r="Y101" s="588" t="s">
        <v>161</v>
      </c>
      <c r="Z101" s="588" t="str">
        <f t="shared" si="20"/>
        <v/>
      </c>
      <c r="AA101" s="592" t="s">
        <v>6</v>
      </c>
      <c r="AB101" s="597" t="str">
        <f t="shared" si="21"/>
        <v/>
      </c>
      <c r="AC101" s="602" t="str">
        <f>IFERROR(ROUNDDOWN(ROUNDDOWN(ROUND(L101*VLOOKUP(K101,'【参考】数式用'!$A$4:$F$57,MATCH("処遇改善加算Ⅳ",'【参考】数式用'!$C$3:$F$3,0)+2,0),0)*M101,0)*Z101*0.5,0),"")</f>
        <v/>
      </c>
      <c r="AD101" s="608"/>
      <c r="AE101" s="616"/>
      <c r="AF101" s="616"/>
      <c r="AG101" s="622"/>
      <c r="AH101" s="625"/>
      <c r="AI101" s="632"/>
      <c r="AJ101" s="632"/>
      <c r="AK101" s="647" t="str">
        <f t="shared" si="22"/>
        <v/>
      </c>
      <c r="AL101" s="650" t="str">
        <f t="shared" si="37"/>
        <v/>
      </c>
      <c r="AM101" s="653"/>
      <c r="AN101" s="656" t="str">
        <f>IFERROR(VLOOKUP(K101,'【参考】数式用'!$A$2:$N$57,14,FALSE),"")</f>
        <v/>
      </c>
      <c r="AO101" s="656" t="str">
        <f t="shared" si="23"/>
        <v/>
      </c>
      <c r="AP101" s="661" t="str">
        <f t="shared" si="24"/>
        <v/>
      </c>
      <c r="AQ101" s="661" t="str">
        <f t="shared" si="25"/>
        <v>入力済</v>
      </c>
      <c r="AR101" s="656" t="str">
        <f t="shared" si="26"/>
        <v/>
      </c>
      <c r="AS101" s="661" t="str">
        <f t="shared" si="27"/>
        <v>入力済</v>
      </c>
      <c r="AT101" s="661" t="str">
        <f t="shared" si="28"/>
        <v/>
      </c>
      <c r="AU101" s="661" t="str">
        <f t="shared" si="29"/>
        <v/>
      </c>
      <c r="AV101" s="656" t="str">
        <f t="shared" si="30"/>
        <v/>
      </c>
      <c r="AW101" s="656" t="str">
        <f t="shared" si="31"/>
        <v>入力済</v>
      </c>
      <c r="AX101" s="661" t="str">
        <f>IFERROR(VLOOKUP(K101,'【参考】数式用'!$AR$3:$AS$49,2,FALSE),"")</f>
        <v/>
      </c>
      <c r="AY101" s="656" t="str">
        <f t="shared" si="32"/>
        <v/>
      </c>
      <c r="AZ101" s="656" t="str">
        <f t="shared" si="38"/>
        <v>入力済</v>
      </c>
      <c r="BA101" s="661" t="str">
        <f>IFERROR(VLOOKUP(K101,'【参考】数式用'!$AX$3:$AY$56,2,FALSE),"")</f>
        <v/>
      </c>
      <c r="BB101" s="656" t="str">
        <f t="shared" si="33"/>
        <v/>
      </c>
      <c r="BC101" s="672" t="str">
        <f t="shared" si="34"/>
        <v>入力済</v>
      </c>
      <c r="BD101" s="656" t="str">
        <f t="shared" si="35"/>
        <v/>
      </c>
      <c r="BE101" s="656" t="str">
        <f t="shared" si="36"/>
        <v/>
      </c>
      <c r="BF101" s="658"/>
      <c r="BG101" s="658"/>
      <c r="BH101" s="680" t="e">
        <f>VLOOKUP(K101,'【参考】数式用'!$A$2:$O$57,15,FALSE)</f>
        <v>#N/A</v>
      </c>
      <c r="BI101" s="658"/>
      <c r="BJ101" s="658"/>
      <c r="BK101" s="658"/>
      <c r="BL101" s="658"/>
      <c r="BM101" s="658"/>
      <c r="BN101" s="658"/>
      <c r="BO101" s="675"/>
    </row>
    <row r="102" spans="1:67" s="494" customFormat="1"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IF(基本情報入力シート!AG130="","",基本情報入力シート!AG130)</f>
        <v/>
      </c>
      <c r="N102" s="569"/>
      <c r="O102" s="574" t="str">
        <f>IFERROR(VLOOKUP(K102,'【参考】数式用'!$A$2:$F$57,MATCH(N102,'【参考】数式用'!$C$3:$F$3,0)+2,0),"")</f>
        <v/>
      </c>
      <c r="P102" s="581" t="s">
        <v>543</v>
      </c>
      <c r="Q102" s="586"/>
      <c r="R102" s="588" t="s">
        <v>75</v>
      </c>
      <c r="S102" s="586"/>
      <c r="T102" s="588" t="s">
        <v>159</v>
      </c>
      <c r="U102" s="586"/>
      <c r="V102" s="588" t="s">
        <v>75</v>
      </c>
      <c r="W102" s="586"/>
      <c r="X102" s="588" t="s">
        <v>10</v>
      </c>
      <c r="Y102" s="588" t="s">
        <v>161</v>
      </c>
      <c r="Z102" s="588" t="str">
        <f t="shared" si="20"/>
        <v/>
      </c>
      <c r="AA102" s="592" t="s">
        <v>6</v>
      </c>
      <c r="AB102" s="597" t="str">
        <f t="shared" si="21"/>
        <v/>
      </c>
      <c r="AC102" s="602" t="str">
        <f>IFERROR(ROUNDDOWN(ROUNDDOWN(ROUND(L102*VLOOKUP(K102,'【参考】数式用'!$A$4:$F$57,MATCH("処遇改善加算Ⅳ",'【参考】数式用'!$C$3:$F$3,0)+2,0),0)*M102,0)*Z102*0.5,0),"")</f>
        <v/>
      </c>
      <c r="AD102" s="608"/>
      <c r="AE102" s="616"/>
      <c r="AF102" s="616"/>
      <c r="AG102" s="622"/>
      <c r="AH102" s="625"/>
      <c r="AI102" s="632"/>
      <c r="AJ102" s="632"/>
      <c r="AK102" s="647" t="str">
        <f t="shared" si="22"/>
        <v/>
      </c>
      <c r="AL102" s="650" t="str">
        <f t="shared" si="37"/>
        <v/>
      </c>
      <c r="AM102" s="653"/>
      <c r="AN102" s="656" t="str">
        <f>IFERROR(VLOOKUP(K102,'【参考】数式用'!$A$2:$N$57,14,FALSE),"")</f>
        <v/>
      </c>
      <c r="AO102" s="656" t="str">
        <f t="shared" si="23"/>
        <v/>
      </c>
      <c r="AP102" s="661" t="str">
        <f t="shared" si="24"/>
        <v/>
      </c>
      <c r="AQ102" s="661" t="str">
        <f t="shared" si="25"/>
        <v>入力済</v>
      </c>
      <c r="AR102" s="656" t="str">
        <f t="shared" si="26"/>
        <v/>
      </c>
      <c r="AS102" s="661" t="str">
        <f t="shared" si="27"/>
        <v>入力済</v>
      </c>
      <c r="AT102" s="661" t="str">
        <f t="shared" si="28"/>
        <v/>
      </c>
      <c r="AU102" s="661" t="str">
        <f t="shared" si="29"/>
        <v/>
      </c>
      <c r="AV102" s="656" t="str">
        <f t="shared" si="30"/>
        <v/>
      </c>
      <c r="AW102" s="656" t="str">
        <f t="shared" si="31"/>
        <v>入力済</v>
      </c>
      <c r="AX102" s="661" t="str">
        <f>IFERROR(VLOOKUP(K102,'【参考】数式用'!$AR$3:$AS$49,2,FALSE),"")</f>
        <v/>
      </c>
      <c r="AY102" s="656" t="str">
        <f t="shared" si="32"/>
        <v/>
      </c>
      <c r="AZ102" s="656" t="str">
        <f t="shared" si="38"/>
        <v>入力済</v>
      </c>
      <c r="BA102" s="661" t="str">
        <f>IFERROR(VLOOKUP(K102,'【参考】数式用'!$AX$3:$AY$56,2,FALSE),"")</f>
        <v/>
      </c>
      <c r="BB102" s="656" t="str">
        <f t="shared" si="33"/>
        <v/>
      </c>
      <c r="BC102" s="672" t="str">
        <f t="shared" si="34"/>
        <v>入力済</v>
      </c>
      <c r="BD102" s="656" t="str">
        <f t="shared" si="35"/>
        <v/>
      </c>
      <c r="BE102" s="656" t="str">
        <f t="shared" si="36"/>
        <v/>
      </c>
      <c r="BF102" s="658"/>
      <c r="BG102" s="658"/>
      <c r="BH102" s="680" t="e">
        <f>VLOOKUP(K102,'【参考】数式用'!$A$2:$O$57,15,FALSE)</f>
        <v>#N/A</v>
      </c>
      <c r="BI102" s="658"/>
      <c r="BJ102" s="658"/>
      <c r="BK102" s="658"/>
      <c r="BL102" s="658"/>
      <c r="BM102" s="658"/>
      <c r="BN102" s="658"/>
      <c r="BO102" s="675"/>
    </row>
    <row r="103" spans="1:67" s="494" customFormat="1"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IF(基本情報入力シート!AG131="","",基本情報入力シート!AG131)</f>
        <v/>
      </c>
      <c r="N103" s="569"/>
      <c r="O103" s="574" t="str">
        <f>IFERROR(VLOOKUP(K103,'【参考】数式用'!$A$2:$F$57,MATCH(N103,'【参考】数式用'!$C$3:$F$3,0)+2,0),"")</f>
        <v/>
      </c>
      <c r="P103" s="581" t="s">
        <v>543</v>
      </c>
      <c r="Q103" s="586"/>
      <c r="R103" s="588" t="s">
        <v>75</v>
      </c>
      <c r="S103" s="586"/>
      <c r="T103" s="588" t="s">
        <v>159</v>
      </c>
      <c r="U103" s="586"/>
      <c r="V103" s="588" t="s">
        <v>75</v>
      </c>
      <c r="W103" s="586"/>
      <c r="X103" s="588" t="s">
        <v>722</v>
      </c>
      <c r="Y103" s="588" t="s">
        <v>161</v>
      </c>
      <c r="Z103" s="588" t="str">
        <f t="shared" si="20"/>
        <v/>
      </c>
      <c r="AA103" s="592" t="s">
        <v>6</v>
      </c>
      <c r="AB103" s="597" t="str">
        <f t="shared" si="21"/>
        <v/>
      </c>
      <c r="AC103" s="602" t="str">
        <f>IFERROR(ROUNDDOWN(ROUNDDOWN(ROUND(L103*VLOOKUP(K103,'【参考】数式用'!$A$4:$F$57,MATCH("処遇改善加算Ⅳ",'【参考】数式用'!$C$3:$F$3,0)+2,0),0)*M103,0)*Z103*0.5,0),"")</f>
        <v/>
      </c>
      <c r="AD103" s="608"/>
      <c r="AE103" s="616"/>
      <c r="AF103" s="616"/>
      <c r="AG103" s="622"/>
      <c r="AH103" s="625"/>
      <c r="AI103" s="632"/>
      <c r="AJ103" s="632"/>
      <c r="AK103" s="647" t="str">
        <f t="shared" si="22"/>
        <v/>
      </c>
      <c r="AL103" s="650" t="str">
        <f t="shared" si="37"/>
        <v/>
      </c>
      <c r="AM103" s="653"/>
      <c r="AN103" s="656" t="str">
        <f>IFERROR(VLOOKUP(K103,'【参考】数式用'!$A$2:$N$57,14,FALSE),"")</f>
        <v/>
      </c>
      <c r="AO103" s="656" t="str">
        <f t="shared" si="23"/>
        <v/>
      </c>
      <c r="AP103" s="661" t="str">
        <f t="shared" si="24"/>
        <v/>
      </c>
      <c r="AQ103" s="661" t="str">
        <f t="shared" si="25"/>
        <v>入力済</v>
      </c>
      <c r="AR103" s="656" t="str">
        <f t="shared" si="26"/>
        <v/>
      </c>
      <c r="AS103" s="661" t="str">
        <f t="shared" si="27"/>
        <v>入力済</v>
      </c>
      <c r="AT103" s="661" t="str">
        <f t="shared" si="28"/>
        <v/>
      </c>
      <c r="AU103" s="661" t="str">
        <f t="shared" si="29"/>
        <v/>
      </c>
      <c r="AV103" s="656" t="str">
        <f t="shared" si="30"/>
        <v/>
      </c>
      <c r="AW103" s="656" t="str">
        <f t="shared" si="31"/>
        <v>入力済</v>
      </c>
      <c r="AX103" s="661" t="str">
        <f>IFERROR(VLOOKUP(K103,'【参考】数式用'!$AR$3:$AS$49,2,FALSE),"")</f>
        <v/>
      </c>
      <c r="AY103" s="656" t="str">
        <f t="shared" si="32"/>
        <v/>
      </c>
      <c r="AZ103" s="656" t="str">
        <f t="shared" si="38"/>
        <v>入力済</v>
      </c>
      <c r="BA103" s="661" t="str">
        <f>IFERROR(VLOOKUP(K103,'【参考】数式用'!$AX$3:$AY$56,2,FALSE),"")</f>
        <v/>
      </c>
      <c r="BB103" s="656" t="str">
        <f t="shared" si="33"/>
        <v/>
      </c>
      <c r="BC103" s="672" t="str">
        <f t="shared" si="34"/>
        <v>入力済</v>
      </c>
      <c r="BD103" s="656" t="str">
        <f t="shared" si="35"/>
        <v/>
      </c>
      <c r="BE103" s="656" t="str">
        <f t="shared" si="36"/>
        <v/>
      </c>
      <c r="BF103" s="658"/>
      <c r="BG103" s="658"/>
      <c r="BH103" s="680" t="e">
        <f>VLOOKUP(K103,'【参考】数式用'!$A$2:$O$57,15,FALSE)</f>
        <v>#N/A</v>
      </c>
      <c r="BI103" s="658"/>
      <c r="BJ103" s="658"/>
      <c r="BK103" s="658"/>
      <c r="BL103" s="658"/>
      <c r="BM103" s="658"/>
      <c r="BN103" s="658"/>
      <c r="BO103" s="675"/>
    </row>
    <row r="104" spans="1:67" s="494" customFormat="1"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IF(基本情報入力シート!AG132="","",基本情報入力シート!AG132)</f>
        <v/>
      </c>
      <c r="N104" s="569"/>
      <c r="O104" s="574" t="str">
        <f>IFERROR(VLOOKUP(K104,'【参考】数式用'!$A$2:$F$57,MATCH(N104,'【参考】数式用'!$C$3:$F$3,0)+2,0),"")</f>
        <v/>
      </c>
      <c r="P104" s="581" t="s">
        <v>543</v>
      </c>
      <c r="Q104" s="586"/>
      <c r="R104" s="588" t="s">
        <v>75</v>
      </c>
      <c r="S104" s="586"/>
      <c r="T104" s="588" t="s">
        <v>159</v>
      </c>
      <c r="U104" s="586"/>
      <c r="V104" s="588" t="s">
        <v>75</v>
      </c>
      <c r="W104" s="586"/>
      <c r="X104" s="588" t="s">
        <v>722</v>
      </c>
      <c r="Y104" s="588" t="s">
        <v>161</v>
      </c>
      <c r="Z104" s="588" t="str">
        <f t="shared" si="20"/>
        <v/>
      </c>
      <c r="AA104" s="592" t="s">
        <v>6</v>
      </c>
      <c r="AB104" s="597" t="str">
        <f t="shared" si="21"/>
        <v/>
      </c>
      <c r="AC104" s="602" t="str">
        <f>IFERROR(ROUNDDOWN(ROUNDDOWN(ROUND(L104*VLOOKUP(K104,'【参考】数式用'!$A$4:$F$57,MATCH("処遇改善加算Ⅳ",'【参考】数式用'!$C$3:$F$3,0)+2,0),0)*M104,0)*Z104*0.5,0),"")</f>
        <v/>
      </c>
      <c r="AD104" s="608"/>
      <c r="AE104" s="616"/>
      <c r="AF104" s="616"/>
      <c r="AG104" s="622"/>
      <c r="AH104" s="625"/>
      <c r="AI104" s="632"/>
      <c r="AJ104" s="632"/>
      <c r="AK104" s="647" t="str">
        <f t="shared" si="22"/>
        <v/>
      </c>
      <c r="AL104" s="650" t="str">
        <f t="shared" si="37"/>
        <v/>
      </c>
      <c r="AM104" s="653"/>
      <c r="AN104" s="656" t="str">
        <f>IFERROR(VLOOKUP(K104,'【参考】数式用'!$A$2:$N$57,14,FALSE),"")</f>
        <v/>
      </c>
      <c r="AO104" s="656" t="str">
        <f t="shared" si="23"/>
        <v/>
      </c>
      <c r="AP104" s="661" t="str">
        <f t="shared" si="24"/>
        <v/>
      </c>
      <c r="AQ104" s="661" t="str">
        <f t="shared" si="25"/>
        <v>入力済</v>
      </c>
      <c r="AR104" s="656" t="str">
        <f t="shared" si="26"/>
        <v/>
      </c>
      <c r="AS104" s="661" t="str">
        <f t="shared" si="27"/>
        <v>入力済</v>
      </c>
      <c r="AT104" s="661" t="str">
        <f t="shared" si="28"/>
        <v/>
      </c>
      <c r="AU104" s="661" t="str">
        <f t="shared" si="29"/>
        <v/>
      </c>
      <c r="AV104" s="656" t="str">
        <f t="shared" si="30"/>
        <v/>
      </c>
      <c r="AW104" s="656" t="str">
        <f t="shared" si="31"/>
        <v>入力済</v>
      </c>
      <c r="AX104" s="661" t="str">
        <f>IFERROR(VLOOKUP(K104,'【参考】数式用'!$AR$3:$AS$49,2,FALSE),"")</f>
        <v/>
      </c>
      <c r="AY104" s="656" t="str">
        <f t="shared" si="32"/>
        <v/>
      </c>
      <c r="AZ104" s="656" t="str">
        <f t="shared" si="38"/>
        <v>入力済</v>
      </c>
      <c r="BA104" s="661" t="str">
        <f>IFERROR(VLOOKUP(K104,'【参考】数式用'!$AX$3:$AY$56,2,FALSE),"")</f>
        <v/>
      </c>
      <c r="BB104" s="656" t="str">
        <f t="shared" si="33"/>
        <v/>
      </c>
      <c r="BC104" s="672" t="str">
        <f t="shared" si="34"/>
        <v>入力済</v>
      </c>
      <c r="BD104" s="656" t="str">
        <f t="shared" si="35"/>
        <v/>
      </c>
      <c r="BE104" s="656" t="str">
        <f t="shared" si="36"/>
        <v/>
      </c>
      <c r="BF104" s="658"/>
      <c r="BG104" s="658"/>
      <c r="BH104" s="680" t="e">
        <f>VLOOKUP(K104,'【参考】数式用'!$A$2:$O$57,15,FALSE)</f>
        <v>#N/A</v>
      </c>
      <c r="BI104" s="658"/>
      <c r="BJ104" s="658"/>
      <c r="BK104" s="658"/>
      <c r="BL104" s="658"/>
      <c r="BM104" s="658"/>
      <c r="BN104" s="658"/>
      <c r="BO104" s="675"/>
    </row>
    <row r="105" spans="1:67" s="494" customFormat="1"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IF(基本情報入力シート!AG133="","",基本情報入力シート!AG133)</f>
        <v/>
      </c>
      <c r="N105" s="569"/>
      <c r="O105" s="574" t="str">
        <f>IFERROR(VLOOKUP(K105,'【参考】数式用'!$A$2:$F$57,MATCH(N105,'【参考】数式用'!$C$3:$F$3,0)+2,0),"")</f>
        <v/>
      </c>
      <c r="P105" s="581" t="s">
        <v>543</v>
      </c>
      <c r="Q105" s="586"/>
      <c r="R105" s="588" t="s">
        <v>75</v>
      </c>
      <c r="S105" s="586"/>
      <c r="T105" s="588" t="s">
        <v>159</v>
      </c>
      <c r="U105" s="586"/>
      <c r="V105" s="588" t="s">
        <v>75</v>
      </c>
      <c r="W105" s="586"/>
      <c r="X105" s="588" t="s">
        <v>722</v>
      </c>
      <c r="Y105" s="588" t="s">
        <v>161</v>
      </c>
      <c r="Z105" s="588" t="str">
        <f t="shared" si="20"/>
        <v/>
      </c>
      <c r="AA105" s="592" t="s">
        <v>6</v>
      </c>
      <c r="AB105" s="597" t="str">
        <f t="shared" si="21"/>
        <v/>
      </c>
      <c r="AC105" s="602" t="str">
        <f>IFERROR(ROUNDDOWN(ROUNDDOWN(ROUND(L105*VLOOKUP(K105,'【参考】数式用'!$A$4:$F$57,MATCH("処遇改善加算Ⅳ",'【参考】数式用'!$C$3:$F$3,0)+2,0),0)*M105,0)*Z105*0.5,0),"")</f>
        <v/>
      </c>
      <c r="AD105" s="608"/>
      <c r="AE105" s="616"/>
      <c r="AF105" s="616"/>
      <c r="AG105" s="622"/>
      <c r="AH105" s="625"/>
      <c r="AI105" s="632"/>
      <c r="AJ105" s="632"/>
      <c r="AK105" s="647" t="str">
        <f t="shared" si="22"/>
        <v/>
      </c>
      <c r="AL105" s="650" t="str">
        <f t="shared" si="37"/>
        <v/>
      </c>
      <c r="AM105" s="653"/>
      <c r="AN105" s="656" t="str">
        <f>IFERROR(VLOOKUP(K105,'【参考】数式用'!$A$2:$N$57,14,FALSE),"")</f>
        <v/>
      </c>
      <c r="AO105" s="656" t="str">
        <f t="shared" si="23"/>
        <v/>
      </c>
      <c r="AP105" s="661" t="str">
        <f t="shared" si="24"/>
        <v/>
      </c>
      <c r="AQ105" s="661" t="str">
        <f t="shared" si="25"/>
        <v>入力済</v>
      </c>
      <c r="AR105" s="656" t="str">
        <f t="shared" si="26"/>
        <v/>
      </c>
      <c r="AS105" s="661" t="str">
        <f t="shared" si="27"/>
        <v>入力済</v>
      </c>
      <c r="AT105" s="661" t="str">
        <f t="shared" si="28"/>
        <v/>
      </c>
      <c r="AU105" s="661" t="str">
        <f t="shared" si="29"/>
        <v/>
      </c>
      <c r="AV105" s="656" t="str">
        <f t="shared" si="30"/>
        <v/>
      </c>
      <c r="AW105" s="656" t="str">
        <f t="shared" si="31"/>
        <v>入力済</v>
      </c>
      <c r="AX105" s="661" t="str">
        <f>IFERROR(VLOOKUP(K105,'【参考】数式用'!$AR$3:$AS$49,2,FALSE),"")</f>
        <v/>
      </c>
      <c r="AY105" s="656" t="str">
        <f t="shared" si="32"/>
        <v/>
      </c>
      <c r="AZ105" s="656" t="str">
        <f t="shared" si="38"/>
        <v>入力済</v>
      </c>
      <c r="BA105" s="661" t="str">
        <f>IFERROR(VLOOKUP(K105,'【参考】数式用'!$AX$3:$AY$56,2,FALSE),"")</f>
        <v/>
      </c>
      <c r="BB105" s="656" t="str">
        <f t="shared" si="33"/>
        <v/>
      </c>
      <c r="BC105" s="672" t="str">
        <f t="shared" si="34"/>
        <v>入力済</v>
      </c>
      <c r="BD105" s="656" t="str">
        <f t="shared" si="35"/>
        <v/>
      </c>
      <c r="BE105" s="656" t="str">
        <f t="shared" si="36"/>
        <v/>
      </c>
      <c r="BF105" s="658"/>
      <c r="BG105" s="658"/>
      <c r="BH105" s="680" t="e">
        <f>VLOOKUP(K105,'【参考】数式用'!$A$2:$O$57,15,FALSE)</f>
        <v>#N/A</v>
      </c>
      <c r="BI105" s="658"/>
      <c r="BJ105" s="658"/>
      <c r="BK105" s="658"/>
      <c r="BL105" s="658"/>
      <c r="BM105" s="658"/>
      <c r="BN105" s="658"/>
      <c r="BO105" s="675"/>
    </row>
    <row r="106" spans="1:67" s="494" customFormat="1"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IF(基本情報入力シート!AG134="","",基本情報入力シート!AG134)</f>
        <v/>
      </c>
      <c r="N106" s="569"/>
      <c r="O106" s="574" t="str">
        <f>IFERROR(VLOOKUP(K106,'【参考】数式用'!$A$2:$F$57,MATCH(N106,'【参考】数式用'!$C$3:$F$3,0)+2,0),"")</f>
        <v/>
      </c>
      <c r="P106" s="581" t="s">
        <v>543</v>
      </c>
      <c r="Q106" s="586"/>
      <c r="R106" s="588" t="s">
        <v>75</v>
      </c>
      <c r="S106" s="586"/>
      <c r="T106" s="588" t="s">
        <v>159</v>
      </c>
      <c r="U106" s="586"/>
      <c r="V106" s="588" t="s">
        <v>75</v>
      </c>
      <c r="W106" s="586"/>
      <c r="X106" s="588" t="s">
        <v>10</v>
      </c>
      <c r="Y106" s="588" t="s">
        <v>161</v>
      </c>
      <c r="Z106" s="588" t="str">
        <f t="shared" si="20"/>
        <v/>
      </c>
      <c r="AA106" s="592" t="s">
        <v>6</v>
      </c>
      <c r="AB106" s="597" t="str">
        <f t="shared" si="21"/>
        <v/>
      </c>
      <c r="AC106" s="602" t="str">
        <f>IFERROR(ROUNDDOWN(ROUNDDOWN(ROUND(L106*VLOOKUP(K106,'【参考】数式用'!$A$4:$F$57,MATCH("処遇改善加算Ⅳ",'【参考】数式用'!$C$3:$F$3,0)+2,0),0)*M106,0)*Z106*0.5,0),"")</f>
        <v/>
      </c>
      <c r="AD106" s="608"/>
      <c r="AE106" s="616"/>
      <c r="AF106" s="616"/>
      <c r="AG106" s="622"/>
      <c r="AH106" s="625"/>
      <c r="AI106" s="632"/>
      <c r="AJ106" s="632"/>
      <c r="AK106" s="647" t="str">
        <f t="shared" si="22"/>
        <v/>
      </c>
      <c r="AL106" s="650" t="str">
        <f t="shared" si="37"/>
        <v/>
      </c>
      <c r="AM106" s="653"/>
      <c r="AN106" s="656" t="str">
        <f>IFERROR(VLOOKUP(K106,'【参考】数式用'!$A$2:$N$57,14,FALSE),"")</f>
        <v/>
      </c>
      <c r="AO106" s="656" t="str">
        <f t="shared" si="23"/>
        <v/>
      </c>
      <c r="AP106" s="661" t="str">
        <f t="shared" si="24"/>
        <v/>
      </c>
      <c r="AQ106" s="661" t="str">
        <f t="shared" si="25"/>
        <v>入力済</v>
      </c>
      <c r="AR106" s="656" t="str">
        <f t="shared" si="26"/>
        <v/>
      </c>
      <c r="AS106" s="661" t="str">
        <f t="shared" si="27"/>
        <v>入力済</v>
      </c>
      <c r="AT106" s="661" t="str">
        <f t="shared" si="28"/>
        <v/>
      </c>
      <c r="AU106" s="661" t="str">
        <f t="shared" si="29"/>
        <v/>
      </c>
      <c r="AV106" s="656" t="str">
        <f t="shared" si="30"/>
        <v/>
      </c>
      <c r="AW106" s="656" t="str">
        <f t="shared" si="31"/>
        <v>入力済</v>
      </c>
      <c r="AX106" s="661" t="str">
        <f>IFERROR(VLOOKUP(K106,'【参考】数式用'!$AR$3:$AS$49,2,FALSE),"")</f>
        <v/>
      </c>
      <c r="AY106" s="656" t="str">
        <f t="shared" si="32"/>
        <v/>
      </c>
      <c r="AZ106" s="656" t="str">
        <f t="shared" si="38"/>
        <v>入力済</v>
      </c>
      <c r="BA106" s="661" t="str">
        <f>IFERROR(VLOOKUP(K106,'【参考】数式用'!$AX$3:$AY$56,2,FALSE),"")</f>
        <v/>
      </c>
      <c r="BB106" s="656" t="str">
        <f t="shared" si="33"/>
        <v/>
      </c>
      <c r="BC106" s="672" t="str">
        <f t="shared" si="34"/>
        <v>入力済</v>
      </c>
      <c r="BD106" s="656" t="str">
        <f t="shared" si="35"/>
        <v/>
      </c>
      <c r="BE106" s="656" t="str">
        <f t="shared" si="36"/>
        <v/>
      </c>
      <c r="BF106" s="658"/>
      <c r="BG106" s="658"/>
      <c r="BH106" s="680" t="e">
        <f>VLOOKUP(K106,'【参考】数式用'!$A$2:$O$57,15,FALSE)</f>
        <v>#N/A</v>
      </c>
      <c r="BI106" s="658"/>
      <c r="BJ106" s="658"/>
      <c r="BK106" s="658"/>
      <c r="BL106" s="658"/>
      <c r="BM106" s="658"/>
      <c r="BN106" s="658"/>
      <c r="BO106" s="675"/>
    </row>
    <row r="107" spans="1:67" s="494" customFormat="1"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IF(基本情報入力シート!AG135="","",基本情報入力シート!AG135)</f>
        <v/>
      </c>
      <c r="N107" s="569"/>
      <c r="O107" s="574" t="str">
        <f>IFERROR(VLOOKUP(K107,'【参考】数式用'!$A$2:$F$57,MATCH(N107,'【参考】数式用'!$C$3:$F$3,0)+2,0),"")</f>
        <v/>
      </c>
      <c r="P107" s="581" t="s">
        <v>543</v>
      </c>
      <c r="Q107" s="586"/>
      <c r="R107" s="588" t="s">
        <v>75</v>
      </c>
      <c r="S107" s="586"/>
      <c r="T107" s="588" t="s">
        <v>159</v>
      </c>
      <c r="U107" s="586"/>
      <c r="V107" s="588" t="s">
        <v>75</v>
      </c>
      <c r="W107" s="586"/>
      <c r="X107" s="588" t="s">
        <v>10</v>
      </c>
      <c r="Y107" s="588" t="s">
        <v>161</v>
      </c>
      <c r="Z107" s="588" t="str">
        <f t="shared" si="20"/>
        <v/>
      </c>
      <c r="AA107" s="592" t="s">
        <v>6</v>
      </c>
      <c r="AB107" s="597" t="str">
        <f t="shared" si="21"/>
        <v/>
      </c>
      <c r="AC107" s="602" t="str">
        <f>IFERROR(ROUNDDOWN(ROUNDDOWN(ROUND(L107*VLOOKUP(K107,'【参考】数式用'!$A$4:$F$57,MATCH("処遇改善加算Ⅳ",'【参考】数式用'!$C$3:$F$3,0)+2,0),0)*M107,0)*Z107*0.5,0),"")</f>
        <v/>
      </c>
      <c r="AD107" s="608"/>
      <c r="AE107" s="616"/>
      <c r="AF107" s="616"/>
      <c r="AG107" s="622"/>
      <c r="AH107" s="625"/>
      <c r="AI107" s="632"/>
      <c r="AJ107" s="632"/>
      <c r="AK107" s="647" t="str">
        <f t="shared" si="22"/>
        <v/>
      </c>
      <c r="AL107" s="650" t="str">
        <f t="shared" si="37"/>
        <v/>
      </c>
      <c r="AM107" s="653"/>
      <c r="AN107" s="656" t="str">
        <f>IFERROR(VLOOKUP(K107,'【参考】数式用'!$A$2:$N$57,14,FALSE),"")</f>
        <v/>
      </c>
      <c r="AO107" s="656" t="str">
        <f t="shared" si="23"/>
        <v/>
      </c>
      <c r="AP107" s="661" t="str">
        <f t="shared" si="24"/>
        <v/>
      </c>
      <c r="AQ107" s="661" t="str">
        <f t="shared" si="25"/>
        <v>入力済</v>
      </c>
      <c r="AR107" s="656" t="str">
        <f t="shared" si="26"/>
        <v/>
      </c>
      <c r="AS107" s="661" t="str">
        <f t="shared" si="27"/>
        <v>入力済</v>
      </c>
      <c r="AT107" s="661" t="str">
        <f t="shared" si="28"/>
        <v/>
      </c>
      <c r="AU107" s="661" t="str">
        <f t="shared" si="29"/>
        <v/>
      </c>
      <c r="AV107" s="656" t="str">
        <f t="shared" si="30"/>
        <v/>
      </c>
      <c r="AW107" s="656" t="str">
        <f t="shared" si="31"/>
        <v>入力済</v>
      </c>
      <c r="AX107" s="661" t="str">
        <f>IFERROR(VLOOKUP(K107,'【参考】数式用'!$AR$3:$AS$49,2,FALSE),"")</f>
        <v/>
      </c>
      <c r="AY107" s="656" t="str">
        <f t="shared" si="32"/>
        <v/>
      </c>
      <c r="AZ107" s="656" t="str">
        <f t="shared" si="38"/>
        <v>入力済</v>
      </c>
      <c r="BA107" s="661" t="str">
        <f>IFERROR(VLOOKUP(K107,'【参考】数式用'!$AX$3:$AY$56,2,FALSE),"")</f>
        <v/>
      </c>
      <c r="BB107" s="656" t="str">
        <f t="shared" si="33"/>
        <v/>
      </c>
      <c r="BC107" s="672" t="str">
        <f t="shared" si="34"/>
        <v>入力済</v>
      </c>
      <c r="BD107" s="656" t="str">
        <f t="shared" si="35"/>
        <v/>
      </c>
      <c r="BE107" s="656" t="str">
        <f t="shared" si="36"/>
        <v/>
      </c>
      <c r="BF107" s="658"/>
      <c r="BG107" s="658"/>
      <c r="BH107" s="680" t="e">
        <f>VLOOKUP(K107,'【参考】数式用'!$A$2:$O$57,15,FALSE)</f>
        <v>#N/A</v>
      </c>
      <c r="BI107" s="658"/>
      <c r="BJ107" s="658"/>
      <c r="BK107" s="658"/>
      <c r="BL107" s="658"/>
      <c r="BM107" s="658"/>
      <c r="BN107" s="658"/>
      <c r="BO107" s="675"/>
    </row>
    <row r="108" spans="1:67" s="494" customFormat="1"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IF(基本情報入力シート!AG136="","",基本情報入力シート!AG136)</f>
        <v/>
      </c>
      <c r="N108" s="569"/>
      <c r="O108" s="574" t="str">
        <f>IFERROR(VLOOKUP(K108,'【参考】数式用'!$A$2:$F$57,MATCH(N108,'【参考】数式用'!$C$3:$F$3,0)+2,0),"")</f>
        <v/>
      </c>
      <c r="P108" s="581" t="s">
        <v>543</v>
      </c>
      <c r="Q108" s="586"/>
      <c r="R108" s="588" t="s">
        <v>75</v>
      </c>
      <c r="S108" s="586"/>
      <c r="T108" s="588" t="s">
        <v>159</v>
      </c>
      <c r="U108" s="586"/>
      <c r="V108" s="588" t="s">
        <v>75</v>
      </c>
      <c r="W108" s="586"/>
      <c r="X108" s="588" t="s">
        <v>722</v>
      </c>
      <c r="Y108" s="588" t="s">
        <v>161</v>
      </c>
      <c r="Z108" s="588" t="str">
        <f t="shared" si="20"/>
        <v/>
      </c>
      <c r="AA108" s="592" t="s">
        <v>6</v>
      </c>
      <c r="AB108" s="597" t="str">
        <f t="shared" si="21"/>
        <v/>
      </c>
      <c r="AC108" s="602" t="str">
        <f>IFERROR(ROUNDDOWN(ROUNDDOWN(ROUND(L108*VLOOKUP(K108,'【参考】数式用'!$A$4:$F$57,MATCH("処遇改善加算Ⅳ",'【参考】数式用'!$C$3:$F$3,0)+2,0),0)*M108,0)*Z108*0.5,0),"")</f>
        <v/>
      </c>
      <c r="AD108" s="608"/>
      <c r="AE108" s="616"/>
      <c r="AF108" s="616"/>
      <c r="AG108" s="622"/>
      <c r="AH108" s="625"/>
      <c r="AI108" s="632"/>
      <c r="AJ108" s="632"/>
      <c r="AK108" s="647" t="str">
        <f t="shared" si="22"/>
        <v/>
      </c>
      <c r="AL108" s="650" t="str">
        <f t="shared" si="37"/>
        <v/>
      </c>
      <c r="AM108" s="653"/>
      <c r="AN108" s="656" t="str">
        <f>IFERROR(VLOOKUP(K108,'【参考】数式用'!$A$2:$N$57,14,FALSE),"")</f>
        <v/>
      </c>
      <c r="AO108" s="656" t="str">
        <f t="shared" si="23"/>
        <v/>
      </c>
      <c r="AP108" s="661" t="str">
        <f t="shared" si="24"/>
        <v/>
      </c>
      <c r="AQ108" s="661" t="str">
        <f t="shared" si="25"/>
        <v>入力済</v>
      </c>
      <c r="AR108" s="656" t="str">
        <f t="shared" si="26"/>
        <v/>
      </c>
      <c r="AS108" s="661" t="str">
        <f t="shared" si="27"/>
        <v>入力済</v>
      </c>
      <c r="AT108" s="661" t="str">
        <f t="shared" si="28"/>
        <v/>
      </c>
      <c r="AU108" s="661" t="str">
        <f t="shared" si="29"/>
        <v/>
      </c>
      <c r="AV108" s="656" t="str">
        <f t="shared" si="30"/>
        <v/>
      </c>
      <c r="AW108" s="656" t="str">
        <f t="shared" si="31"/>
        <v>入力済</v>
      </c>
      <c r="AX108" s="661" t="str">
        <f>IFERROR(VLOOKUP(K108,'【参考】数式用'!$AR$3:$AS$49,2,FALSE),"")</f>
        <v/>
      </c>
      <c r="AY108" s="656" t="str">
        <f t="shared" si="32"/>
        <v/>
      </c>
      <c r="AZ108" s="656" t="str">
        <f t="shared" si="38"/>
        <v>入力済</v>
      </c>
      <c r="BA108" s="661" t="str">
        <f>IFERROR(VLOOKUP(K108,'【参考】数式用'!$AX$3:$AY$56,2,FALSE),"")</f>
        <v/>
      </c>
      <c r="BB108" s="656" t="str">
        <f t="shared" si="33"/>
        <v/>
      </c>
      <c r="BC108" s="672" t="str">
        <f t="shared" si="34"/>
        <v>入力済</v>
      </c>
      <c r="BD108" s="656" t="str">
        <f t="shared" si="35"/>
        <v/>
      </c>
      <c r="BE108" s="656" t="str">
        <f t="shared" si="36"/>
        <v/>
      </c>
      <c r="BF108" s="658"/>
      <c r="BG108" s="658"/>
      <c r="BH108" s="680" t="e">
        <f>VLOOKUP(K108,'【参考】数式用'!$A$2:$O$57,15,FALSE)</f>
        <v>#N/A</v>
      </c>
      <c r="BI108" s="658"/>
      <c r="BJ108" s="658"/>
      <c r="BK108" s="658"/>
      <c r="BL108" s="658"/>
      <c r="BM108" s="658"/>
      <c r="BN108" s="658"/>
      <c r="BO108" s="675"/>
    </row>
    <row r="109" spans="1:67" s="494" customFormat="1"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IF(基本情報入力シート!AG137="","",基本情報入力シート!AG137)</f>
        <v/>
      </c>
      <c r="N109" s="569"/>
      <c r="O109" s="574" t="str">
        <f>IFERROR(VLOOKUP(K109,'【参考】数式用'!$A$2:$F$57,MATCH(N109,'【参考】数式用'!$C$3:$F$3,0)+2,0),"")</f>
        <v/>
      </c>
      <c r="P109" s="581" t="s">
        <v>543</v>
      </c>
      <c r="Q109" s="586"/>
      <c r="R109" s="588" t="s">
        <v>75</v>
      </c>
      <c r="S109" s="586"/>
      <c r="T109" s="588" t="s">
        <v>159</v>
      </c>
      <c r="U109" s="586"/>
      <c r="V109" s="588" t="s">
        <v>75</v>
      </c>
      <c r="W109" s="586"/>
      <c r="X109" s="588" t="s">
        <v>722</v>
      </c>
      <c r="Y109" s="588" t="s">
        <v>161</v>
      </c>
      <c r="Z109" s="588" t="str">
        <f t="shared" si="20"/>
        <v/>
      </c>
      <c r="AA109" s="592" t="s">
        <v>6</v>
      </c>
      <c r="AB109" s="597" t="str">
        <f t="shared" si="21"/>
        <v/>
      </c>
      <c r="AC109" s="602" t="str">
        <f>IFERROR(ROUNDDOWN(ROUNDDOWN(ROUND(L109*VLOOKUP(K109,'【参考】数式用'!$A$4:$F$57,MATCH("処遇改善加算Ⅳ",'【参考】数式用'!$C$3:$F$3,0)+2,0),0)*M109,0)*Z109*0.5,0),"")</f>
        <v/>
      </c>
      <c r="AD109" s="608"/>
      <c r="AE109" s="616"/>
      <c r="AF109" s="616"/>
      <c r="AG109" s="622"/>
      <c r="AH109" s="625"/>
      <c r="AI109" s="632"/>
      <c r="AJ109" s="632"/>
      <c r="AK109" s="647" t="str">
        <f t="shared" si="22"/>
        <v/>
      </c>
      <c r="AL109" s="650" t="str">
        <f t="shared" si="37"/>
        <v/>
      </c>
      <c r="AM109" s="653"/>
      <c r="AN109" s="656" t="str">
        <f>IFERROR(VLOOKUP(K109,'【参考】数式用'!$A$2:$N$57,14,FALSE),"")</f>
        <v/>
      </c>
      <c r="AO109" s="656" t="str">
        <f t="shared" si="23"/>
        <v/>
      </c>
      <c r="AP109" s="661" t="str">
        <f t="shared" si="24"/>
        <v/>
      </c>
      <c r="AQ109" s="661" t="str">
        <f t="shared" si="25"/>
        <v>入力済</v>
      </c>
      <c r="AR109" s="656" t="str">
        <f t="shared" si="26"/>
        <v/>
      </c>
      <c r="AS109" s="661" t="str">
        <f t="shared" si="27"/>
        <v>入力済</v>
      </c>
      <c r="AT109" s="661" t="str">
        <f t="shared" si="28"/>
        <v/>
      </c>
      <c r="AU109" s="661" t="str">
        <f t="shared" si="29"/>
        <v/>
      </c>
      <c r="AV109" s="656" t="str">
        <f t="shared" si="30"/>
        <v/>
      </c>
      <c r="AW109" s="656" t="str">
        <f t="shared" si="31"/>
        <v>入力済</v>
      </c>
      <c r="AX109" s="661" t="str">
        <f>IFERROR(VLOOKUP(K109,'【参考】数式用'!$AR$3:$AS$49,2,FALSE),"")</f>
        <v/>
      </c>
      <c r="AY109" s="656" t="str">
        <f t="shared" si="32"/>
        <v/>
      </c>
      <c r="AZ109" s="656" t="str">
        <f t="shared" si="38"/>
        <v>入力済</v>
      </c>
      <c r="BA109" s="661" t="str">
        <f>IFERROR(VLOOKUP(K109,'【参考】数式用'!$AX$3:$AY$56,2,FALSE),"")</f>
        <v/>
      </c>
      <c r="BB109" s="656" t="str">
        <f t="shared" si="33"/>
        <v/>
      </c>
      <c r="BC109" s="672" t="str">
        <f t="shared" si="34"/>
        <v>入力済</v>
      </c>
      <c r="BD109" s="656" t="str">
        <f t="shared" si="35"/>
        <v/>
      </c>
      <c r="BE109" s="656" t="str">
        <f t="shared" si="36"/>
        <v/>
      </c>
      <c r="BF109" s="658"/>
      <c r="BG109" s="658"/>
      <c r="BH109" s="680" t="e">
        <f>VLOOKUP(K109,'【参考】数式用'!$A$2:$O$57,15,FALSE)</f>
        <v>#N/A</v>
      </c>
      <c r="BI109" s="658"/>
      <c r="BJ109" s="658"/>
      <c r="BK109" s="658"/>
      <c r="BL109" s="658"/>
      <c r="BM109" s="658"/>
      <c r="BN109" s="658"/>
      <c r="BO109" s="675"/>
    </row>
    <row r="110" spans="1:67" s="494" customFormat="1" ht="109.9" customHeight="1">
      <c r="A110" s="506">
        <v>99</v>
      </c>
      <c r="B110" s="515" t="str">
        <f>IF(基本情報入力シート!B138="","",基本情報入力シート!B138)</f>
        <v/>
      </c>
      <c r="C110" s="521"/>
      <c r="D110" s="521"/>
      <c r="E110" s="521"/>
      <c r="F110" s="528"/>
      <c r="G110" s="534" t="str">
        <f>IF(基本情報入力シート!L138="","",基本情報入力シート!L138)</f>
        <v/>
      </c>
      <c r="H110" s="534" t="str">
        <f>IF(基本情報入力シート!Q138="","",基本情報入力シート!Q138)</f>
        <v/>
      </c>
      <c r="I110" s="534" t="str">
        <f>IF(基本情報入力シート!V138="","",基本情報入力シート!V138)</f>
        <v/>
      </c>
      <c r="J110" s="534" t="str">
        <f>IF(基本情報入力シート!W138="","",基本情報入力シート!W138)</f>
        <v/>
      </c>
      <c r="K110" s="534" t="str">
        <f>IF(基本情報入力シート!Z138="","",基本情報入力シート!Z138)</f>
        <v/>
      </c>
      <c r="L110" s="553" t="str">
        <f>IF(基本情報入力シート!AF138=0,"",基本情報入力シート!AF138)</f>
        <v/>
      </c>
      <c r="M110" s="561" t="str">
        <f>IF(基本情報入力シート!AG138="","",基本情報入力シート!AG138)</f>
        <v/>
      </c>
      <c r="N110" s="569"/>
      <c r="O110" s="574" t="str">
        <f>IFERROR(VLOOKUP(K110,'【参考】数式用'!$A$2:$F$57,MATCH(N110,'【参考】数式用'!$C$3:$F$3,0)+2,0),"")</f>
        <v/>
      </c>
      <c r="P110" s="581" t="s">
        <v>543</v>
      </c>
      <c r="Q110" s="586"/>
      <c r="R110" s="588" t="s">
        <v>75</v>
      </c>
      <c r="S110" s="586"/>
      <c r="T110" s="588" t="s">
        <v>159</v>
      </c>
      <c r="U110" s="586"/>
      <c r="V110" s="588" t="s">
        <v>75</v>
      </c>
      <c r="W110" s="586"/>
      <c r="X110" s="588" t="s">
        <v>722</v>
      </c>
      <c r="Y110" s="588" t="s">
        <v>161</v>
      </c>
      <c r="Z110" s="588" t="str">
        <f t="shared" si="20"/>
        <v/>
      </c>
      <c r="AA110" s="592" t="s">
        <v>6</v>
      </c>
      <c r="AB110" s="597" t="str">
        <f t="shared" si="21"/>
        <v/>
      </c>
      <c r="AC110" s="602" t="str">
        <f>IFERROR(ROUNDDOWN(ROUNDDOWN(ROUND(L110*VLOOKUP(K110,'【参考】数式用'!$A$4:$F$57,MATCH("処遇改善加算Ⅳ",'【参考】数式用'!$C$3:$F$3,0)+2,0),0)*M110,0)*Z110*0.5,0),"")</f>
        <v/>
      </c>
      <c r="AD110" s="608"/>
      <c r="AE110" s="616"/>
      <c r="AF110" s="616"/>
      <c r="AG110" s="622"/>
      <c r="AH110" s="625"/>
      <c r="AI110" s="632"/>
      <c r="AJ110" s="632"/>
      <c r="AK110" s="647" t="str">
        <f t="shared" si="22"/>
        <v/>
      </c>
      <c r="AL110" s="650" t="str">
        <f t="shared" si="37"/>
        <v/>
      </c>
      <c r="AM110" s="653"/>
      <c r="AN110" s="656" t="str">
        <f>IFERROR(VLOOKUP(K110,'【参考】数式用'!$A$2:$N$57,14,FALSE),"")</f>
        <v/>
      </c>
      <c r="AO110" s="656" t="str">
        <f t="shared" si="23"/>
        <v/>
      </c>
      <c r="AP110" s="661" t="str">
        <f t="shared" si="24"/>
        <v/>
      </c>
      <c r="AQ110" s="661" t="str">
        <f t="shared" si="25"/>
        <v>入力済</v>
      </c>
      <c r="AR110" s="656" t="str">
        <f t="shared" si="26"/>
        <v/>
      </c>
      <c r="AS110" s="661" t="str">
        <f t="shared" si="27"/>
        <v>入力済</v>
      </c>
      <c r="AT110" s="661" t="str">
        <f t="shared" si="28"/>
        <v/>
      </c>
      <c r="AU110" s="661" t="str">
        <f t="shared" si="29"/>
        <v/>
      </c>
      <c r="AV110" s="656" t="str">
        <f t="shared" si="30"/>
        <v/>
      </c>
      <c r="AW110" s="656" t="str">
        <f t="shared" si="31"/>
        <v>入力済</v>
      </c>
      <c r="AX110" s="661" t="str">
        <f>IFERROR(VLOOKUP(K110,'【参考】数式用'!$AR$3:$AS$49,2,FALSE),"")</f>
        <v/>
      </c>
      <c r="AY110" s="656" t="str">
        <f t="shared" si="32"/>
        <v/>
      </c>
      <c r="AZ110" s="656" t="str">
        <f t="shared" si="38"/>
        <v>入力済</v>
      </c>
      <c r="BA110" s="661" t="str">
        <f>IFERROR(VLOOKUP(K110,'【参考】数式用'!$AX$3:$AY$56,2,FALSE),"")</f>
        <v/>
      </c>
      <c r="BB110" s="656" t="str">
        <f t="shared" si="33"/>
        <v/>
      </c>
      <c r="BC110" s="672" t="str">
        <f t="shared" si="34"/>
        <v>入力済</v>
      </c>
      <c r="BD110" s="656" t="str">
        <f t="shared" si="35"/>
        <v/>
      </c>
      <c r="BE110" s="656" t="str">
        <f t="shared" si="36"/>
        <v/>
      </c>
      <c r="BF110" s="658"/>
      <c r="BG110" s="658"/>
      <c r="BH110" s="680" t="e">
        <f>VLOOKUP(K110,'【参考】数式用'!$A$2:$O$57,15,FALSE)</f>
        <v>#N/A</v>
      </c>
      <c r="BI110" s="658"/>
      <c r="BJ110" s="658"/>
      <c r="BK110" s="658"/>
      <c r="BL110" s="658"/>
      <c r="BM110" s="658"/>
      <c r="BN110" s="658"/>
      <c r="BO110" s="675"/>
    </row>
    <row r="111" spans="1:67" s="494" customFormat="1" ht="109.9" customHeight="1">
      <c r="A111" s="506">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IF(基本情報入力シート!AG139="","",基本情報入力シート!AG139)</f>
        <v/>
      </c>
      <c r="N111" s="570"/>
      <c r="O111" s="575" t="str">
        <f>IFERROR(VLOOKUP(K111,'【参考】数式用'!$A$2:$F$57,MATCH(N111,'【参考】数式用'!$C$3:$F$3,0)+2,0),"")</f>
        <v/>
      </c>
      <c r="P111" s="582" t="s">
        <v>543</v>
      </c>
      <c r="Q111" s="587"/>
      <c r="R111" s="589" t="s">
        <v>75</v>
      </c>
      <c r="S111" s="587"/>
      <c r="T111" s="589" t="s">
        <v>159</v>
      </c>
      <c r="U111" s="587"/>
      <c r="V111" s="589" t="s">
        <v>75</v>
      </c>
      <c r="W111" s="587"/>
      <c r="X111" s="589" t="s">
        <v>10</v>
      </c>
      <c r="Y111" s="589" t="s">
        <v>161</v>
      </c>
      <c r="Z111" s="589" t="str">
        <f t="shared" si="20"/>
        <v/>
      </c>
      <c r="AA111" s="593" t="s">
        <v>6</v>
      </c>
      <c r="AB111" s="598" t="str">
        <f t="shared" si="21"/>
        <v/>
      </c>
      <c r="AC111" s="603" t="str">
        <f>IFERROR(ROUNDDOWN(ROUNDDOWN(ROUND(L111*VLOOKUP(K111,'【参考】数式用'!$A$4:$F$57,MATCH("処遇改善加算Ⅳ",'【参考】数式用'!$C$3:$F$3,0)+2,0),0)*M111,0)*Z111*0.5,0),"")</f>
        <v/>
      </c>
      <c r="AD111" s="609"/>
      <c r="AE111" s="617"/>
      <c r="AF111" s="617"/>
      <c r="AG111" s="623"/>
      <c r="AH111" s="626"/>
      <c r="AI111" s="632"/>
      <c r="AJ111" s="639"/>
      <c r="AK111" s="647" t="str">
        <f t="shared" si="22"/>
        <v/>
      </c>
      <c r="AL111" s="650" t="str">
        <f t="shared" si="37"/>
        <v/>
      </c>
      <c r="AM111" s="653"/>
      <c r="AN111" s="656" t="str">
        <f>IFERROR(VLOOKUP(K111,'【参考】数式用'!$A$2:$N$57,14,FALSE),"")</f>
        <v/>
      </c>
      <c r="AO111" s="656" t="str">
        <f t="shared" si="23"/>
        <v/>
      </c>
      <c r="AP111" s="661" t="str">
        <f t="shared" si="24"/>
        <v/>
      </c>
      <c r="AQ111" s="661" t="str">
        <f t="shared" si="25"/>
        <v>入力済</v>
      </c>
      <c r="AR111" s="656" t="str">
        <f t="shared" si="26"/>
        <v/>
      </c>
      <c r="AS111" s="661" t="str">
        <f t="shared" si="27"/>
        <v>入力済</v>
      </c>
      <c r="AT111" s="661" t="str">
        <f t="shared" si="28"/>
        <v/>
      </c>
      <c r="AU111" s="661" t="str">
        <f t="shared" si="29"/>
        <v/>
      </c>
      <c r="AV111" s="656" t="str">
        <f t="shared" si="30"/>
        <v/>
      </c>
      <c r="AW111" s="656" t="str">
        <f t="shared" si="31"/>
        <v>入力済</v>
      </c>
      <c r="AX111" s="661" t="str">
        <f>IFERROR(VLOOKUP(K111,'【参考】数式用'!$AR$3:$AS$49,2,FALSE),"")</f>
        <v/>
      </c>
      <c r="AY111" s="656" t="str">
        <f t="shared" si="32"/>
        <v/>
      </c>
      <c r="AZ111" s="656" t="str">
        <f t="shared" si="38"/>
        <v>入力済</v>
      </c>
      <c r="BA111" s="661" t="str">
        <f>IFERROR(VLOOKUP(K111,'【参考】数式用'!$AX$3:$AY$56,2,FALSE),"")</f>
        <v/>
      </c>
      <c r="BB111" s="656" t="str">
        <f t="shared" si="33"/>
        <v/>
      </c>
      <c r="BC111" s="672" t="str">
        <f t="shared" si="34"/>
        <v>入力済</v>
      </c>
      <c r="BD111" s="656" t="str">
        <f t="shared" si="35"/>
        <v/>
      </c>
      <c r="BE111" s="656" t="str">
        <f t="shared" si="36"/>
        <v/>
      </c>
      <c r="BF111" s="658"/>
      <c r="BG111" s="658"/>
      <c r="BH111" s="680" t="e">
        <f>VLOOKUP(K111,'【参考】数式用'!$A$2:$O$57,15,FALSE)</f>
        <v>#N/A</v>
      </c>
      <c r="BI111" s="658"/>
      <c r="BJ111" s="658"/>
      <c r="BK111" s="658"/>
      <c r="BL111" s="658"/>
      <c r="BM111" s="658"/>
      <c r="BN111" s="658"/>
      <c r="BO111" s="675"/>
    </row>
    <row r="112" spans="1:67" s="494" customFormat="1">
      <c r="A112" s="44"/>
      <c r="B112" s="479"/>
      <c r="C112" s="479"/>
      <c r="D112" s="479"/>
      <c r="E112" s="479"/>
      <c r="F112" s="479"/>
      <c r="G112" s="44"/>
      <c r="H112" s="44"/>
      <c r="I112" s="480"/>
      <c r="J112" s="44"/>
      <c r="K112" s="1"/>
      <c r="L112" s="44"/>
      <c r="M112" s="481"/>
      <c r="N112" s="482"/>
      <c r="O112" s="100"/>
      <c r="P112" s="483"/>
      <c r="Q112" s="482"/>
      <c r="R112" s="1"/>
      <c r="S112" s="484"/>
      <c r="T112" s="1"/>
      <c r="U112" s="484"/>
      <c r="V112" s="1"/>
      <c r="W112" s="484"/>
      <c r="X112" s="1"/>
      <c r="Y112" s="484"/>
      <c r="Z112" s="1"/>
      <c r="AA112" s="1"/>
      <c r="AB112" s="1"/>
      <c r="AC112" s="1"/>
      <c r="AD112" s="482"/>
      <c r="AE112" s="485"/>
      <c r="AF112" s="486"/>
      <c r="AG112" s="487"/>
      <c r="AH112" s="487"/>
      <c r="AI112" s="488"/>
      <c r="AJ112" s="489"/>
      <c r="AK112" s="648"/>
      <c r="AL112" s="648"/>
      <c r="AM112" s="648"/>
      <c r="AN112" s="648"/>
      <c r="AO112" s="648"/>
      <c r="AP112" s="648"/>
      <c r="AQ112" s="658"/>
      <c r="AR112" s="648"/>
      <c r="AS112" s="658"/>
      <c r="AT112" s="658"/>
      <c r="AU112" s="658"/>
      <c r="AV112" s="658"/>
      <c r="AW112" s="658"/>
      <c r="AX112" s="658"/>
      <c r="AY112" s="658"/>
      <c r="AZ112" s="658"/>
      <c r="BA112" s="658"/>
      <c r="BB112" s="658"/>
      <c r="BC112" s="668"/>
      <c r="BD112" s="658"/>
      <c r="BE112" s="658"/>
      <c r="BF112" s="658"/>
      <c r="BG112" s="658"/>
      <c r="BH112" s="676"/>
      <c r="BI112" s="658"/>
      <c r="BJ112" s="658"/>
      <c r="BK112" s="658"/>
      <c r="BL112" s="658"/>
      <c r="BM112" s="658"/>
      <c r="BN112" s="658"/>
      <c r="BO112" s="675"/>
    </row>
    <row r="113" spans="1:67" s="494" customFormat="1">
      <c r="A113" s="44"/>
      <c r="B113" s="479"/>
      <c r="C113" s="479"/>
      <c r="D113" s="479"/>
      <c r="E113" s="479"/>
      <c r="F113" s="479"/>
      <c r="G113" s="44"/>
      <c r="H113" s="44"/>
      <c r="I113" s="480"/>
      <c r="J113" s="44"/>
      <c r="K113" s="1"/>
      <c r="L113" s="44"/>
      <c r="M113" s="481"/>
      <c r="N113" s="482"/>
      <c r="O113" s="100"/>
      <c r="P113" s="483"/>
      <c r="Q113" s="482"/>
      <c r="R113" s="1"/>
      <c r="S113" s="484"/>
      <c r="T113" s="1"/>
      <c r="U113" s="484"/>
      <c r="V113" s="1"/>
      <c r="W113" s="484"/>
      <c r="X113" s="1"/>
      <c r="Y113" s="484"/>
      <c r="Z113" s="1"/>
      <c r="AA113" s="1"/>
      <c r="AB113" s="1"/>
      <c r="AC113" s="1"/>
      <c r="AD113" s="482"/>
      <c r="AE113" s="485"/>
      <c r="AF113" s="486"/>
      <c r="AG113" s="487"/>
      <c r="AH113" s="487"/>
      <c r="AI113" s="488"/>
      <c r="AJ113" s="489"/>
      <c r="AK113" s="648"/>
      <c r="AL113" s="648"/>
      <c r="AM113" s="648"/>
      <c r="AN113" s="648"/>
      <c r="AO113" s="648"/>
      <c r="AP113" s="648"/>
      <c r="AQ113" s="658"/>
      <c r="AR113" s="648"/>
      <c r="AS113" s="658"/>
      <c r="AT113" s="658"/>
      <c r="AU113" s="658"/>
      <c r="AV113" s="658"/>
      <c r="AW113" s="658"/>
      <c r="AX113" s="658"/>
      <c r="AY113" s="658"/>
      <c r="AZ113" s="658"/>
      <c r="BA113" s="658"/>
      <c r="BB113" s="658"/>
      <c r="BC113" s="668"/>
      <c r="BD113" s="658"/>
      <c r="BE113" s="658"/>
      <c r="BF113" s="658"/>
      <c r="BG113" s="658"/>
      <c r="BH113" s="676"/>
      <c r="BI113" s="658"/>
      <c r="BJ113" s="658"/>
      <c r="BK113" s="658"/>
      <c r="BL113" s="658"/>
      <c r="BM113" s="658"/>
      <c r="BN113" s="658"/>
      <c r="BO113" s="675"/>
    </row>
    <row r="114" spans="1:67" s="494" customFormat="1">
      <c r="A114" s="44"/>
      <c r="B114" s="479"/>
      <c r="C114" s="479"/>
      <c r="D114" s="479"/>
      <c r="E114" s="479"/>
      <c r="F114" s="479"/>
      <c r="G114" s="44"/>
      <c r="H114" s="44"/>
      <c r="I114" s="480"/>
      <c r="J114" s="44"/>
      <c r="K114" s="1"/>
      <c r="L114" s="44"/>
      <c r="M114" s="481"/>
      <c r="N114" s="482"/>
      <c r="O114" s="100"/>
      <c r="P114" s="483"/>
      <c r="Q114" s="482"/>
      <c r="R114" s="1"/>
      <c r="S114" s="484"/>
      <c r="T114" s="1"/>
      <c r="U114" s="484"/>
      <c r="V114" s="1"/>
      <c r="W114" s="484"/>
      <c r="X114" s="1"/>
      <c r="Y114" s="484"/>
      <c r="Z114" s="1"/>
      <c r="AA114" s="1"/>
      <c r="AB114" s="1"/>
      <c r="AC114" s="1"/>
      <c r="AD114" s="482"/>
      <c r="AE114" s="485"/>
      <c r="AF114" s="486"/>
      <c r="AG114" s="487"/>
      <c r="AH114" s="487"/>
      <c r="AI114" s="488"/>
      <c r="AJ114" s="489"/>
      <c r="AK114" s="648"/>
      <c r="AL114" s="648"/>
      <c r="AM114" s="648"/>
      <c r="AN114" s="648"/>
      <c r="AO114" s="648"/>
      <c r="AP114" s="648"/>
      <c r="AQ114" s="658"/>
      <c r="AR114" s="648"/>
      <c r="AS114" s="658"/>
      <c r="AT114" s="658"/>
      <c r="AU114" s="658"/>
      <c r="AV114" s="658"/>
      <c r="AW114" s="658"/>
      <c r="AX114" s="658"/>
      <c r="AY114" s="658"/>
      <c r="AZ114" s="658"/>
      <c r="BA114" s="658"/>
      <c r="BB114" s="658"/>
      <c r="BC114" s="668"/>
      <c r="BD114" s="658"/>
      <c r="BE114" s="658"/>
      <c r="BF114" s="658"/>
      <c r="BG114" s="658"/>
      <c r="BH114" s="676"/>
      <c r="BI114" s="658"/>
      <c r="BJ114" s="658"/>
      <c r="BK114" s="658"/>
      <c r="BL114" s="658"/>
      <c r="BM114" s="658"/>
      <c r="BN114" s="658"/>
      <c r="BO114" s="675"/>
    </row>
    <row r="115" spans="1:67" s="494" customFormat="1">
      <c r="A115" s="44"/>
      <c r="B115" s="479"/>
      <c r="C115" s="479"/>
      <c r="D115" s="479"/>
      <c r="E115" s="479"/>
      <c r="F115" s="479"/>
      <c r="G115" s="44"/>
      <c r="H115" s="44"/>
      <c r="I115" s="480"/>
      <c r="J115" s="44"/>
      <c r="K115" s="1"/>
      <c r="L115" s="44"/>
      <c r="M115" s="481"/>
      <c r="N115" s="482"/>
      <c r="O115" s="100"/>
      <c r="P115" s="483"/>
      <c r="Q115" s="482"/>
      <c r="R115" s="1"/>
      <c r="S115" s="484"/>
      <c r="T115" s="1"/>
      <c r="U115" s="484"/>
      <c r="V115" s="1"/>
      <c r="W115" s="484"/>
      <c r="X115" s="1"/>
      <c r="Y115" s="484"/>
      <c r="Z115" s="1"/>
      <c r="AA115" s="1"/>
      <c r="AB115" s="1"/>
      <c r="AC115" s="1"/>
      <c r="AD115" s="482"/>
      <c r="AE115" s="485"/>
      <c r="AF115" s="486"/>
      <c r="AG115" s="487"/>
      <c r="AH115" s="487"/>
      <c r="AI115" s="488"/>
      <c r="AJ115" s="489"/>
      <c r="AK115" s="648"/>
      <c r="AL115" s="648"/>
      <c r="AM115" s="648"/>
      <c r="AN115" s="648"/>
      <c r="AO115" s="648"/>
      <c r="AP115" s="648"/>
      <c r="AQ115" s="658"/>
      <c r="AR115" s="648"/>
      <c r="AS115" s="658"/>
      <c r="AT115" s="658"/>
      <c r="AU115" s="658"/>
      <c r="AV115" s="658"/>
      <c r="AW115" s="658"/>
      <c r="AX115" s="658"/>
      <c r="AY115" s="658"/>
      <c r="AZ115" s="658"/>
      <c r="BA115" s="658"/>
      <c r="BB115" s="658"/>
      <c r="BC115" s="668"/>
      <c r="BD115" s="658"/>
      <c r="BE115" s="658"/>
      <c r="BF115" s="658"/>
      <c r="BG115" s="658"/>
      <c r="BH115" s="676"/>
      <c r="BI115" s="658"/>
      <c r="BJ115" s="658"/>
      <c r="BK115" s="658"/>
      <c r="BL115" s="658"/>
      <c r="BM115" s="658"/>
      <c r="BN115" s="658"/>
      <c r="BO115" s="675"/>
    </row>
    <row r="116" spans="1:67" s="494" customFormat="1">
      <c r="A116" s="44"/>
      <c r="B116" s="479"/>
      <c r="C116" s="479"/>
      <c r="D116" s="479"/>
      <c r="E116" s="479"/>
      <c r="F116" s="479"/>
      <c r="G116" s="44"/>
      <c r="H116" s="44"/>
      <c r="I116" s="480"/>
      <c r="J116" s="44"/>
      <c r="K116" s="1"/>
      <c r="L116" s="44"/>
      <c r="M116" s="481"/>
      <c r="N116" s="482"/>
      <c r="O116" s="100"/>
      <c r="P116" s="483"/>
      <c r="Q116" s="482"/>
      <c r="R116" s="1"/>
      <c r="S116" s="484"/>
      <c r="T116" s="1"/>
      <c r="U116" s="484"/>
      <c r="V116" s="1"/>
      <c r="W116" s="484"/>
      <c r="X116" s="1"/>
      <c r="Y116" s="484"/>
      <c r="Z116" s="1"/>
      <c r="AA116" s="1"/>
      <c r="AB116" s="1"/>
      <c r="AC116" s="1"/>
      <c r="AD116" s="482"/>
      <c r="AE116" s="485"/>
      <c r="AF116" s="486"/>
      <c r="AG116" s="487"/>
      <c r="AH116" s="487"/>
      <c r="AI116" s="488"/>
      <c r="AJ116" s="489"/>
      <c r="AK116" s="648"/>
      <c r="AL116" s="648"/>
      <c r="AM116" s="648"/>
      <c r="AN116" s="648"/>
      <c r="AO116" s="648"/>
      <c r="AP116" s="648"/>
      <c r="AQ116" s="658"/>
      <c r="AR116" s="648"/>
      <c r="AS116" s="658"/>
      <c r="AT116" s="658"/>
      <c r="AU116" s="658"/>
      <c r="AV116" s="658"/>
      <c r="AW116" s="658"/>
      <c r="AX116" s="658"/>
      <c r="AY116" s="658"/>
      <c r="AZ116" s="658"/>
      <c r="BA116" s="658"/>
      <c r="BB116" s="658"/>
      <c r="BC116" s="668"/>
      <c r="BD116" s="658"/>
      <c r="BE116" s="658"/>
      <c r="BF116" s="658"/>
      <c r="BG116" s="658"/>
      <c r="BH116" s="676"/>
      <c r="BI116" s="658"/>
      <c r="BJ116" s="658"/>
      <c r="BK116" s="658"/>
      <c r="BL116" s="658"/>
      <c r="BM116" s="658"/>
      <c r="BN116" s="658"/>
      <c r="BO116" s="675"/>
    </row>
    <row r="117" spans="1:67" s="494" customFormat="1">
      <c r="A117" s="44"/>
      <c r="B117" s="479"/>
      <c r="C117" s="479"/>
      <c r="D117" s="479"/>
      <c r="E117" s="479"/>
      <c r="F117" s="479"/>
      <c r="G117" s="44"/>
      <c r="H117" s="44"/>
      <c r="I117" s="480"/>
      <c r="J117" s="44"/>
      <c r="K117" s="1"/>
      <c r="L117" s="44"/>
      <c r="M117" s="481"/>
      <c r="N117" s="482"/>
      <c r="O117" s="100"/>
      <c r="P117" s="483"/>
      <c r="Q117" s="482"/>
      <c r="R117" s="1"/>
      <c r="S117" s="484"/>
      <c r="T117" s="1"/>
      <c r="U117" s="484"/>
      <c r="V117" s="1"/>
      <c r="W117" s="484"/>
      <c r="X117" s="1"/>
      <c r="Y117" s="484"/>
      <c r="Z117" s="1"/>
      <c r="AA117" s="1"/>
      <c r="AB117" s="1"/>
      <c r="AC117" s="1"/>
      <c r="AD117" s="482"/>
      <c r="AE117" s="485"/>
      <c r="AF117" s="486"/>
      <c r="AG117" s="487"/>
      <c r="AH117" s="487"/>
      <c r="AI117" s="488"/>
      <c r="AJ117" s="489"/>
      <c r="AK117" s="648"/>
      <c r="AL117" s="648"/>
      <c r="AM117" s="648"/>
      <c r="AN117" s="648"/>
      <c r="AO117" s="648"/>
      <c r="AP117" s="648"/>
      <c r="AQ117" s="658"/>
      <c r="AR117" s="648"/>
      <c r="AS117" s="658"/>
      <c r="AT117" s="658"/>
      <c r="AU117" s="658"/>
      <c r="AV117" s="658"/>
      <c r="AW117" s="658"/>
      <c r="AX117" s="658"/>
      <c r="AY117" s="658"/>
      <c r="AZ117" s="658"/>
      <c r="BA117" s="658"/>
      <c r="BB117" s="658"/>
      <c r="BC117" s="668"/>
      <c r="BD117" s="658"/>
      <c r="BE117" s="658"/>
      <c r="BF117" s="658"/>
      <c r="BG117" s="658"/>
      <c r="BH117" s="676"/>
      <c r="BI117" s="658"/>
      <c r="BJ117" s="658"/>
      <c r="BK117" s="658"/>
      <c r="BL117" s="658"/>
      <c r="BM117" s="658"/>
      <c r="BN117" s="658"/>
      <c r="BO117" s="675"/>
    </row>
    <row r="118" spans="1:67" s="494" customFormat="1">
      <c r="A118" s="44"/>
      <c r="B118" s="479"/>
      <c r="C118" s="479"/>
      <c r="D118" s="479"/>
      <c r="E118" s="479"/>
      <c r="F118" s="479"/>
      <c r="G118" s="44"/>
      <c r="H118" s="44"/>
      <c r="I118" s="480"/>
      <c r="J118" s="44"/>
      <c r="K118" s="1"/>
      <c r="L118" s="44"/>
      <c r="M118" s="481"/>
      <c r="N118" s="482"/>
      <c r="O118" s="100"/>
      <c r="P118" s="483"/>
      <c r="Q118" s="482"/>
      <c r="R118" s="1"/>
      <c r="S118" s="484"/>
      <c r="T118" s="1"/>
      <c r="U118" s="484"/>
      <c r="V118" s="1"/>
      <c r="W118" s="484"/>
      <c r="X118" s="1"/>
      <c r="Y118" s="484"/>
      <c r="Z118" s="1"/>
      <c r="AA118" s="1"/>
      <c r="AB118" s="1"/>
      <c r="AC118" s="1"/>
      <c r="AD118" s="482"/>
      <c r="AE118" s="485"/>
      <c r="AF118" s="486"/>
      <c r="AG118" s="487"/>
      <c r="AH118" s="487"/>
      <c r="AI118" s="488"/>
      <c r="AJ118" s="489"/>
      <c r="AK118" s="648"/>
      <c r="AL118" s="648"/>
      <c r="AM118" s="648"/>
      <c r="AN118" s="648"/>
      <c r="AO118" s="648"/>
      <c r="AP118" s="648"/>
      <c r="AQ118" s="658"/>
      <c r="AR118" s="648"/>
      <c r="AS118" s="658"/>
      <c r="AT118" s="658"/>
      <c r="AU118" s="658"/>
      <c r="AV118" s="658"/>
      <c r="AW118" s="658"/>
      <c r="AX118" s="658"/>
      <c r="AY118" s="658"/>
      <c r="AZ118" s="658"/>
      <c r="BA118" s="658"/>
      <c r="BB118" s="658"/>
      <c r="BC118" s="668"/>
      <c r="BD118" s="658"/>
      <c r="BE118" s="658"/>
      <c r="BF118" s="658"/>
      <c r="BG118" s="658"/>
      <c r="BH118" s="676"/>
      <c r="BI118" s="658"/>
      <c r="BJ118" s="658"/>
      <c r="BK118" s="658"/>
      <c r="BL118" s="658"/>
      <c r="BM118" s="658"/>
      <c r="BN118" s="658"/>
      <c r="BO118" s="675"/>
    </row>
    <row r="119" spans="1:67" s="494" customFormat="1">
      <c r="A119" s="44"/>
      <c r="B119" s="479"/>
      <c r="C119" s="479"/>
      <c r="D119" s="479"/>
      <c r="E119" s="479"/>
      <c r="F119" s="479"/>
      <c r="G119" s="44"/>
      <c r="H119" s="44"/>
      <c r="I119" s="480"/>
      <c r="J119" s="44"/>
      <c r="K119" s="1"/>
      <c r="L119" s="44"/>
      <c r="M119" s="481"/>
      <c r="N119" s="482"/>
      <c r="O119" s="100"/>
      <c r="P119" s="483"/>
      <c r="Q119" s="482"/>
      <c r="R119" s="1"/>
      <c r="S119" s="484"/>
      <c r="T119" s="1"/>
      <c r="U119" s="484"/>
      <c r="V119" s="1"/>
      <c r="W119" s="484"/>
      <c r="X119" s="1"/>
      <c r="Y119" s="484"/>
      <c r="Z119" s="1"/>
      <c r="AA119" s="1"/>
      <c r="AB119" s="1"/>
      <c r="AC119" s="1"/>
      <c r="AD119" s="482"/>
      <c r="AE119" s="485"/>
      <c r="AF119" s="486"/>
      <c r="AG119" s="487"/>
      <c r="AH119" s="487"/>
      <c r="AI119" s="488"/>
      <c r="AJ119" s="489"/>
      <c r="AK119" s="648"/>
      <c r="AL119" s="648"/>
      <c r="AM119" s="648"/>
      <c r="AN119" s="648"/>
      <c r="AO119" s="648"/>
      <c r="AP119" s="648"/>
      <c r="AQ119" s="658"/>
      <c r="AR119" s="648"/>
      <c r="AS119" s="658"/>
      <c r="AT119" s="658"/>
      <c r="AU119" s="658"/>
      <c r="AV119" s="658"/>
      <c r="AW119" s="658"/>
      <c r="AX119" s="658"/>
      <c r="AY119" s="658"/>
      <c r="AZ119" s="658"/>
      <c r="BA119" s="658"/>
      <c r="BB119" s="658"/>
      <c r="BC119" s="668"/>
      <c r="BD119" s="658"/>
      <c r="BE119" s="658"/>
      <c r="BF119" s="658"/>
      <c r="BG119" s="658"/>
      <c r="BH119" s="676"/>
      <c r="BI119" s="658"/>
      <c r="BJ119" s="658"/>
      <c r="BK119" s="658"/>
      <c r="BL119" s="658"/>
      <c r="BM119" s="658"/>
      <c r="BN119" s="658"/>
      <c r="BO119" s="675"/>
    </row>
    <row r="120" spans="1:67" s="494" customFormat="1">
      <c r="A120" s="44"/>
      <c r="B120" s="479"/>
      <c r="C120" s="479"/>
      <c r="D120" s="479"/>
      <c r="E120" s="479"/>
      <c r="F120" s="479"/>
      <c r="G120" s="44"/>
      <c r="H120" s="44"/>
      <c r="I120" s="480"/>
      <c r="J120" s="44"/>
      <c r="K120" s="1"/>
      <c r="L120" s="44"/>
      <c r="M120" s="481"/>
      <c r="N120" s="482"/>
      <c r="O120" s="100"/>
      <c r="P120" s="483"/>
      <c r="Q120" s="482"/>
      <c r="R120" s="1"/>
      <c r="S120" s="484"/>
      <c r="T120" s="1"/>
      <c r="U120" s="484"/>
      <c r="V120" s="1"/>
      <c r="W120" s="484"/>
      <c r="X120" s="1"/>
      <c r="Y120" s="484"/>
      <c r="Z120" s="1"/>
      <c r="AA120" s="1"/>
      <c r="AB120" s="1"/>
      <c r="AC120" s="1"/>
      <c r="AD120" s="482"/>
      <c r="AE120" s="485"/>
      <c r="AF120" s="486"/>
      <c r="AG120" s="487"/>
      <c r="AH120" s="487"/>
      <c r="AI120" s="488"/>
      <c r="AJ120" s="489"/>
      <c r="AK120" s="648"/>
      <c r="AL120" s="648"/>
      <c r="AM120" s="648"/>
      <c r="AN120" s="648"/>
      <c r="AO120" s="648"/>
      <c r="AP120" s="648"/>
      <c r="AQ120" s="658"/>
      <c r="AR120" s="648"/>
      <c r="AS120" s="658"/>
      <c r="AT120" s="658"/>
      <c r="AU120" s="658"/>
      <c r="AV120" s="658"/>
      <c r="AW120" s="658"/>
      <c r="AX120" s="658"/>
      <c r="AY120" s="658"/>
      <c r="AZ120" s="658"/>
      <c r="BA120" s="658"/>
      <c r="BB120" s="658"/>
      <c r="BC120" s="668"/>
      <c r="BD120" s="658"/>
      <c r="BE120" s="658"/>
      <c r="BF120" s="658"/>
      <c r="BG120" s="658"/>
      <c r="BH120" s="676"/>
      <c r="BI120" s="658"/>
      <c r="BJ120" s="658"/>
      <c r="BK120" s="658"/>
      <c r="BL120" s="658"/>
      <c r="BM120" s="658"/>
      <c r="BN120" s="658"/>
      <c r="BO120" s="675"/>
    </row>
    <row r="121" spans="1:67" s="494" customFormat="1">
      <c r="A121" s="44"/>
      <c r="B121" s="479"/>
      <c r="C121" s="479"/>
      <c r="D121" s="479"/>
      <c r="E121" s="479"/>
      <c r="F121" s="479"/>
      <c r="G121" s="44"/>
      <c r="H121" s="44"/>
      <c r="I121" s="480"/>
      <c r="J121" s="44"/>
      <c r="K121" s="1"/>
      <c r="L121" s="44"/>
      <c r="M121" s="481"/>
      <c r="N121" s="482"/>
      <c r="O121" s="100"/>
      <c r="P121" s="483"/>
      <c r="Q121" s="482"/>
      <c r="R121" s="1"/>
      <c r="S121" s="484"/>
      <c r="T121" s="1"/>
      <c r="U121" s="484"/>
      <c r="V121" s="1"/>
      <c r="W121" s="484"/>
      <c r="X121" s="1"/>
      <c r="Y121" s="484"/>
      <c r="Z121" s="1"/>
      <c r="AA121" s="1"/>
      <c r="AB121" s="1"/>
      <c r="AC121" s="1"/>
      <c r="AD121" s="482"/>
      <c r="AE121" s="485"/>
      <c r="AF121" s="486"/>
      <c r="AG121" s="487"/>
      <c r="AH121" s="487"/>
      <c r="AI121" s="488"/>
      <c r="AJ121" s="489"/>
      <c r="AK121" s="648"/>
      <c r="AL121" s="648"/>
      <c r="AM121" s="648"/>
      <c r="AN121" s="648"/>
      <c r="AO121" s="648"/>
      <c r="AP121" s="648"/>
      <c r="AQ121" s="658"/>
      <c r="AR121" s="648"/>
      <c r="AS121" s="658"/>
      <c r="AT121" s="658"/>
      <c r="AU121" s="658"/>
      <c r="AV121" s="658"/>
      <c r="AW121" s="658"/>
      <c r="AX121" s="658"/>
      <c r="AY121" s="658"/>
      <c r="AZ121" s="658"/>
      <c r="BA121" s="658"/>
      <c r="BB121" s="658"/>
      <c r="BC121" s="668"/>
      <c r="BD121" s="658"/>
      <c r="BE121" s="658"/>
      <c r="BF121" s="658"/>
      <c r="BG121" s="658"/>
      <c r="BH121" s="676"/>
      <c r="BI121" s="658"/>
      <c r="BJ121" s="658"/>
      <c r="BK121" s="658"/>
      <c r="BL121" s="658"/>
      <c r="BM121" s="658"/>
      <c r="BN121" s="658"/>
      <c r="BO121" s="675"/>
    </row>
    <row r="122" spans="1:67" s="494" customFormat="1">
      <c r="A122" s="44"/>
      <c r="B122" s="479"/>
      <c r="C122" s="479"/>
      <c r="D122" s="479"/>
      <c r="E122" s="479"/>
      <c r="F122" s="479"/>
      <c r="G122" s="44"/>
      <c r="H122" s="44"/>
      <c r="I122" s="480"/>
      <c r="J122" s="44"/>
      <c r="K122" s="1"/>
      <c r="L122" s="44"/>
      <c r="M122" s="481"/>
      <c r="N122" s="482"/>
      <c r="O122" s="100"/>
      <c r="P122" s="483"/>
      <c r="Q122" s="482"/>
      <c r="R122" s="1"/>
      <c r="S122" s="484"/>
      <c r="T122" s="1"/>
      <c r="U122" s="484"/>
      <c r="V122" s="1"/>
      <c r="W122" s="484"/>
      <c r="X122" s="1"/>
      <c r="Y122" s="484"/>
      <c r="Z122" s="1"/>
      <c r="AA122" s="1"/>
      <c r="AB122" s="1"/>
      <c r="AC122" s="1"/>
      <c r="AD122" s="482"/>
      <c r="AE122" s="485"/>
      <c r="AF122" s="486"/>
      <c r="AG122" s="487"/>
      <c r="AH122" s="487"/>
      <c r="AI122" s="488"/>
      <c r="AJ122" s="489"/>
      <c r="AK122" s="648"/>
      <c r="AL122" s="648"/>
      <c r="AM122" s="648"/>
      <c r="AN122" s="648"/>
      <c r="AO122" s="648"/>
      <c r="AP122" s="648"/>
      <c r="AQ122" s="658"/>
      <c r="AR122" s="648"/>
      <c r="AS122" s="658"/>
      <c r="AT122" s="658"/>
      <c r="AU122" s="658"/>
      <c r="AV122" s="658"/>
      <c r="AW122" s="658"/>
      <c r="AX122" s="658"/>
      <c r="AY122" s="658"/>
      <c r="AZ122" s="658"/>
      <c r="BA122" s="658"/>
      <c r="BB122" s="658"/>
      <c r="BC122" s="668"/>
      <c r="BD122" s="658"/>
      <c r="BE122" s="658"/>
      <c r="BF122" s="658"/>
      <c r="BG122" s="658"/>
      <c r="BH122" s="676"/>
      <c r="BI122" s="658"/>
      <c r="BJ122" s="658"/>
      <c r="BK122" s="658"/>
      <c r="BL122" s="658"/>
      <c r="BM122" s="658"/>
      <c r="BN122" s="658"/>
      <c r="BO122" s="675"/>
    </row>
    <row r="123" spans="1:67" s="494" customFormat="1">
      <c r="A123" s="44"/>
      <c r="B123" s="479"/>
      <c r="C123" s="479"/>
      <c r="D123" s="479"/>
      <c r="E123" s="479"/>
      <c r="F123" s="479"/>
      <c r="G123" s="44"/>
      <c r="H123" s="44"/>
      <c r="I123" s="480"/>
      <c r="J123" s="44"/>
      <c r="K123" s="1"/>
      <c r="L123" s="44"/>
      <c r="M123" s="481"/>
      <c r="N123" s="482"/>
      <c r="O123" s="100"/>
      <c r="P123" s="483"/>
      <c r="Q123" s="482"/>
      <c r="R123" s="1"/>
      <c r="S123" s="484"/>
      <c r="T123" s="1"/>
      <c r="U123" s="484"/>
      <c r="V123" s="1"/>
      <c r="W123" s="484"/>
      <c r="X123" s="1"/>
      <c r="Y123" s="484"/>
      <c r="Z123" s="1"/>
      <c r="AA123" s="1"/>
      <c r="AB123" s="1"/>
      <c r="AC123" s="1"/>
      <c r="AD123" s="482"/>
      <c r="AE123" s="485"/>
      <c r="AF123" s="486"/>
      <c r="AG123" s="487"/>
      <c r="AH123" s="487"/>
      <c r="AI123" s="488"/>
      <c r="AJ123" s="489"/>
      <c r="AK123" s="648"/>
      <c r="AL123" s="648"/>
      <c r="AM123" s="648"/>
      <c r="AN123" s="648"/>
      <c r="AO123" s="648"/>
      <c r="AP123" s="648"/>
      <c r="AQ123" s="658"/>
      <c r="AR123" s="648"/>
      <c r="AS123" s="658"/>
      <c r="AT123" s="658"/>
      <c r="AU123" s="658"/>
      <c r="AV123" s="658"/>
      <c r="AW123" s="658"/>
      <c r="AX123" s="658"/>
      <c r="AY123" s="658"/>
      <c r="AZ123" s="658"/>
      <c r="BA123" s="658"/>
      <c r="BB123" s="658"/>
      <c r="BC123" s="668"/>
      <c r="BD123" s="658"/>
      <c r="BE123" s="658"/>
      <c r="BF123" s="658"/>
      <c r="BG123" s="658"/>
      <c r="BH123" s="676"/>
      <c r="BI123" s="658"/>
      <c r="BJ123" s="658"/>
      <c r="BK123" s="658"/>
      <c r="BL123" s="658"/>
      <c r="BM123" s="658"/>
      <c r="BN123" s="658"/>
      <c r="BO123" s="675"/>
    </row>
    <row r="124" spans="1:67" s="494" customFormat="1">
      <c r="A124" s="44"/>
      <c r="B124" s="479"/>
      <c r="C124" s="479"/>
      <c r="D124" s="479"/>
      <c r="E124" s="479"/>
      <c r="F124" s="479"/>
      <c r="G124" s="44"/>
      <c r="H124" s="44"/>
      <c r="I124" s="480"/>
      <c r="J124" s="44"/>
      <c r="K124" s="1"/>
      <c r="L124" s="44"/>
      <c r="M124" s="481"/>
      <c r="N124" s="482"/>
      <c r="O124" s="100"/>
      <c r="P124" s="483"/>
      <c r="Q124" s="482"/>
      <c r="R124" s="1"/>
      <c r="S124" s="484"/>
      <c r="T124" s="1"/>
      <c r="U124" s="484"/>
      <c r="V124" s="1"/>
      <c r="W124" s="484"/>
      <c r="X124" s="1"/>
      <c r="Y124" s="484"/>
      <c r="Z124" s="1"/>
      <c r="AA124" s="1"/>
      <c r="AB124" s="1"/>
      <c r="AC124" s="1"/>
      <c r="AD124" s="482"/>
      <c r="AE124" s="485"/>
      <c r="AF124" s="486"/>
      <c r="AG124" s="487"/>
      <c r="AH124" s="487"/>
      <c r="AI124" s="488"/>
      <c r="AJ124" s="489"/>
      <c r="AK124" s="648"/>
      <c r="AL124" s="648"/>
      <c r="AM124" s="648"/>
      <c r="AN124" s="648"/>
      <c r="AO124" s="648"/>
      <c r="AP124" s="648"/>
      <c r="AQ124" s="658"/>
      <c r="AR124" s="648"/>
      <c r="AS124" s="658"/>
      <c r="AT124" s="658"/>
      <c r="AU124" s="658"/>
      <c r="AV124" s="658"/>
      <c r="AW124" s="658"/>
      <c r="AX124" s="658"/>
      <c r="AY124" s="658"/>
      <c r="AZ124" s="658"/>
      <c r="BA124" s="658"/>
      <c r="BB124" s="658"/>
      <c r="BC124" s="668"/>
      <c r="BD124" s="658"/>
      <c r="BE124" s="658"/>
      <c r="BF124" s="658"/>
      <c r="BG124" s="658"/>
      <c r="BH124" s="676"/>
      <c r="BI124" s="658"/>
      <c r="BJ124" s="658"/>
      <c r="BK124" s="658"/>
      <c r="BL124" s="658"/>
      <c r="BM124" s="658"/>
      <c r="BN124" s="658"/>
      <c r="BO124" s="675"/>
    </row>
    <row r="125" spans="1:67" s="494" customFormat="1">
      <c r="A125" s="44"/>
      <c r="B125" s="479"/>
      <c r="C125" s="479"/>
      <c r="D125" s="479"/>
      <c r="E125" s="479"/>
      <c r="F125" s="479"/>
      <c r="G125" s="44"/>
      <c r="H125" s="44"/>
      <c r="I125" s="480"/>
      <c r="J125" s="44"/>
      <c r="K125" s="1"/>
      <c r="L125" s="44"/>
      <c r="M125" s="481"/>
      <c r="N125" s="482"/>
      <c r="O125" s="100"/>
      <c r="P125" s="483"/>
      <c r="Q125" s="482"/>
      <c r="R125" s="1"/>
      <c r="S125" s="484"/>
      <c r="T125" s="1"/>
      <c r="U125" s="484"/>
      <c r="V125" s="1"/>
      <c r="W125" s="484"/>
      <c r="X125" s="1"/>
      <c r="Y125" s="484"/>
      <c r="Z125" s="1"/>
      <c r="AA125" s="1"/>
      <c r="AB125" s="1"/>
      <c r="AC125" s="1"/>
      <c r="AD125" s="482"/>
      <c r="AE125" s="485"/>
      <c r="AF125" s="486"/>
      <c r="AG125" s="487"/>
      <c r="AH125" s="487"/>
      <c r="AI125" s="488"/>
      <c r="AJ125" s="489"/>
      <c r="AK125" s="648"/>
      <c r="AL125" s="648"/>
      <c r="AM125" s="648"/>
      <c r="AN125" s="648"/>
      <c r="AO125" s="648"/>
      <c r="AP125" s="648"/>
      <c r="AQ125" s="658"/>
      <c r="AR125" s="648"/>
      <c r="AS125" s="658"/>
      <c r="AT125" s="658"/>
      <c r="AU125" s="658"/>
      <c r="AV125" s="658"/>
      <c r="AW125" s="658"/>
      <c r="AX125" s="658"/>
      <c r="AY125" s="658"/>
      <c r="AZ125" s="658"/>
      <c r="BA125" s="658"/>
      <c r="BB125" s="658"/>
      <c r="BC125" s="668"/>
      <c r="BD125" s="658"/>
      <c r="BE125" s="658"/>
      <c r="BF125" s="658"/>
      <c r="BG125" s="658"/>
      <c r="BH125" s="676"/>
      <c r="BI125" s="658"/>
      <c r="BJ125" s="658"/>
      <c r="BK125" s="658"/>
      <c r="BL125" s="658"/>
      <c r="BM125" s="658"/>
      <c r="BN125" s="658"/>
      <c r="BO125" s="675"/>
    </row>
    <row r="126" spans="1:67" s="494" customFormat="1">
      <c r="A126" s="44"/>
      <c r="B126" s="479"/>
      <c r="C126" s="479"/>
      <c r="D126" s="479"/>
      <c r="E126" s="479"/>
      <c r="F126" s="479"/>
      <c r="G126" s="44"/>
      <c r="H126" s="44"/>
      <c r="I126" s="480"/>
      <c r="J126" s="44"/>
      <c r="K126" s="1"/>
      <c r="L126" s="44"/>
      <c r="M126" s="481"/>
      <c r="N126" s="482"/>
      <c r="O126" s="100"/>
      <c r="P126" s="483"/>
      <c r="Q126" s="482"/>
      <c r="R126" s="1"/>
      <c r="S126" s="484"/>
      <c r="T126" s="1"/>
      <c r="U126" s="484"/>
      <c r="V126" s="1"/>
      <c r="W126" s="484"/>
      <c r="X126" s="1"/>
      <c r="Y126" s="484"/>
      <c r="Z126" s="1"/>
      <c r="AA126" s="1"/>
      <c r="AB126" s="1"/>
      <c r="AC126" s="1"/>
      <c r="AD126" s="482"/>
      <c r="AE126" s="485"/>
      <c r="AF126" s="486"/>
      <c r="AG126" s="487"/>
      <c r="AH126" s="487"/>
      <c r="AI126" s="488"/>
      <c r="AJ126" s="489"/>
      <c r="AK126" s="648"/>
      <c r="AL126" s="648"/>
      <c r="AM126" s="648"/>
      <c r="AN126" s="648"/>
      <c r="AO126" s="648"/>
      <c r="AP126" s="648"/>
      <c r="AQ126" s="658"/>
      <c r="AR126" s="648"/>
      <c r="AS126" s="658"/>
      <c r="AT126" s="658"/>
      <c r="AU126" s="658"/>
      <c r="AV126" s="658"/>
      <c r="AW126" s="658"/>
      <c r="AX126" s="658"/>
      <c r="AY126" s="658"/>
      <c r="AZ126" s="658"/>
      <c r="BA126" s="658"/>
      <c r="BB126" s="658"/>
      <c r="BC126" s="668"/>
      <c r="BD126" s="658"/>
      <c r="BE126" s="658"/>
      <c r="BF126" s="658"/>
      <c r="BG126" s="658"/>
      <c r="BH126" s="676"/>
      <c r="BI126" s="658"/>
      <c r="BJ126" s="658"/>
      <c r="BK126" s="658"/>
      <c r="BL126" s="658"/>
      <c r="BM126" s="658"/>
      <c r="BN126" s="658"/>
      <c r="BO126" s="675"/>
    </row>
    <row r="127" spans="1:67" s="494" customFormat="1">
      <c r="A127" s="44"/>
      <c r="B127" s="479"/>
      <c r="C127" s="479"/>
      <c r="D127" s="479"/>
      <c r="E127" s="479"/>
      <c r="F127" s="479"/>
      <c r="G127" s="44"/>
      <c r="H127" s="44"/>
      <c r="I127" s="480"/>
      <c r="J127" s="44"/>
      <c r="K127" s="1"/>
      <c r="L127" s="44"/>
      <c r="M127" s="481"/>
      <c r="N127" s="482"/>
      <c r="O127" s="100"/>
      <c r="P127" s="483"/>
      <c r="Q127" s="482"/>
      <c r="R127" s="1"/>
      <c r="S127" s="484"/>
      <c r="T127" s="1"/>
      <c r="U127" s="484"/>
      <c r="V127" s="1"/>
      <c r="W127" s="484"/>
      <c r="X127" s="1"/>
      <c r="Y127" s="484"/>
      <c r="Z127" s="1"/>
      <c r="AA127" s="1"/>
      <c r="AB127" s="1"/>
      <c r="AC127" s="1"/>
      <c r="AD127" s="482"/>
      <c r="AE127" s="485"/>
      <c r="AF127" s="486"/>
      <c r="AG127" s="487"/>
      <c r="AH127" s="487"/>
      <c r="AI127" s="488"/>
      <c r="AJ127" s="489"/>
      <c r="AK127" s="648"/>
      <c r="AL127" s="648"/>
      <c r="AM127" s="648"/>
      <c r="AN127" s="648"/>
      <c r="AO127" s="648"/>
      <c r="AP127" s="648"/>
      <c r="AQ127" s="658"/>
      <c r="AR127" s="648"/>
      <c r="AS127" s="658"/>
      <c r="AT127" s="658"/>
      <c r="AU127" s="658"/>
      <c r="AV127" s="658"/>
      <c r="AW127" s="658"/>
      <c r="AX127" s="658"/>
      <c r="AY127" s="658"/>
      <c r="AZ127" s="658"/>
      <c r="BA127" s="658"/>
      <c r="BB127" s="658"/>
      <c r="BC127" s="668"/>
      <c r="BD127" s="658"/>
      <c r="BE127" s="658"/>
      <c r="BF127" s="658"/>
      <c r="BG127" s="658"/>
      <c r="BH127" s="676"/>
      <c r="BI127" s="658"/>
      <c r="BJ127" s="658"/>
      <c r="BK127" s="658"/>
      <c r="BL127" s="658"/>
      <c r="BM127" s="658"/>
      <c r="BN127" s="658"/>
      <c r="BO127" s="675"/>
    </row>
    <row r="128" spans="1:67" s="494" customFormat="1">
      <c r="A128" s="44"/>
      <c r="B128" s="479"/>
      <c r="C128" s="479"/>
      <c r="D128" s="479"/>
      <c r="E128" s="479"/>
      <c r="F128" s="479"/>
      <c r="G128" s="44"/>
      <c r="H128" s="44"/>
      <c r="I128" s="480"/>
      <c r="J128" s="44"/>
      <c r="K128" s="1"/>
      <c r="L128" s="44"/>
      <c r="M128" s="481"/>
      <c r="N128" s="482"/>
      <c r="O128" s="100"/>
      <c r="P128" s="483"/>
      <c r="Q128" s="482"/>
      <c r="R128" s="1"/>
      <c r="S128" s="484"/>
      <c r="T128" s="1"/>
      <c r="U128" s="484"/>
      <c r="V128" s="1"/>
      <c r="W128" s="484"/>
      <c r="X128" s="1"/>
      <c r="Y128" s="484"/>
      <c r="Z128" s="1"/>
      <c r="AA128" s="1"/>
      <c r="AB128" s="1"/>
      <c r="AC128" s="1"/>
      <c r="AD128" s="482"/>
      <c r="AE128" s="485"/>
      <c r="AF128" s="486"/>
      <c r="AG128" s="487"/>
      <c r="AH128" s="487"/>
      <c r="AI128" s="488"/>
      <c r="AJ128" s="489"/>
      <c r="AK128" s="648"/>
      <c r="AL128" s="648"/>
      <c r="AM128" s="648"/>
      <c r="AN128" s="648"/>
      <c r="AO128" s="648"/>
      <c r="AP128" s="648"/>
      <c r="AQ128" s="658"/>
      <c r="AR128" s="648"/>
      <c r="AS128" s="658"/>
      <c r="AT128" s="658"/>
      <c r="AU128" s="658"/>
      <c r="AV128" s="658"/>
      <c r="AW128" s="658"/>
      <c r="AX128" s="658"/>
      <c r="AY128" s="658"/>
      <c r="AZ128" s="658"/>
      <c r="BA128" s="658"/>
      <c r="BB128" s="658"/>
      <c r="BC128" s="668"/>
      <c r="BD128" s="658"/>
      <c r="BE128" s="658"/>
      <c r="BF128" s="658"/>
      <c r="BG128" s="658"/>
      <c r="BH128" s="676"/>
      <c r="BI128" s="658"/>
      <c r="BJ128" s="658"/>
      <c r="BK128" s="658"/>
      <c r="BL128" s="658"/>
      <c r="BM128" s="658"/>
      <c r="BN128" s="658"/>
      <c r="BO128" s="675"/>
    </row>
    <row r="129" spans="1:67" s="494" customFormat="1">
      <c r="A129" s="44"/>
      <c r="B129" s="479"/>
      <c r="C129" s="479"/>
      <c r="D129" s="479"/>
      <c r="E129" s="479"/>
      <c r="F129" s="479"/>
      <c r="G129" s="44"/>
      <c r="H129" s="44"/>
      <c r="I129" s="480"/>
      <c r="J129" s="44"/>
      <c r="K129" s="1"/>
      <c r="L129" s="44"/>
      <c r="M129" s="481"/>
      <c r="N129" s="482"/>
      <c r="O129" s="100"/>
      <c r="P129" s="483"/>
      <c r="Q129" s="482"/>
      <c r="R129" s="1"/>
      <c r="S129" s="484"/>
      <c r="T129" s="1"/>
      <c r="U129" s="484"/>
      <c r="V129" s="1"/>
      <c r="W129" s="484"/>
      <c r="X129" s="1"/>
      <c r="Y129" s="484"/>
      <c r="Z129" s="1"/>
      <c r="AA129" s="1"/>
      <c r="AB129" s="1"/>
      <c r="AC129" s="1"/>
      <c r="AD129" s="482"/>
      <c r="AE129" s="485"/>
      <c r="AF129" s="486"/>
      <c r="AG129" s="487"/>
      <c r="AH129" s="487"/>
      <c r="AI129" s="488"/>
      <c r="AJ129" s="489"/>
      <c r="AK129" s="648"/>
      <c r="AL129" s="648"/>
      <c r="AM129" s="648"/>
      <c r="AN129" s="648"/>
      <c r="AO129" s="648"/>
      <c r="AP129" s="648"/>
      <c r="AQ129" s="658"/>
      <c r="AR129" s="648"/>
      <c r="AS129" s="658"/>
      <c r="AT129" s="658"/>
      <c r="AU129" s="658"/>
      <c r="AV129" s="658"/>
      <c r="AW129" s="658"/>
      <c r="AX129" s="658"/>
      <c r="AY129" s="658"/>
      <c r="AZ129" s="658"/>
      <c r="BA129" s="658"/>
      <c r="BB129" s="658"/>
      <c r="BC129" s="668"/>
      <c r="BD129" s="658"/>
      <c r="BE129" s="658"/>
      <c r="BF129" s="658"/>
      <c r="BG129" s="658"/>
      <c r="BH129" s="676"/>
      <c r="BI129" s="658"/>
      <c r="BJ129" s="658"/>
      <c r="BK129" s="658"/>
      <c r="BL129" s="658"/>
      <c r="BM129" s="658"/>
      <c r="BN129" s="658"/>
      <c r="BO129" s="675"/>
    </row>
    <row r="130" spans="1:67" s="494" customFormat="1">
      <c r="A130" s="44"/>
      <c r="B130" s="479"/>
      <c r="C130" s="479"/>
      <c r="D130" s="479"/>
      <c r="E130" s="479"/>
      <c r="F130" s="479"/>
      <c r="G130" s="44"/>
      <c r="H130" s="44"/>
      <c r="I130" s="480"/>
      <c r="J130" s="44"/>
      <c r="K130" s="1"/>
      <c r="L130" s="44"/>
      <c r="M130" s="481"/>
      <c r="N130" s="482"/>
      <c r="O130" s="100"/>
      <c r="P130" s="483"/>
      <c r="Q130" s="482"/>
      <c r="R130" s="1"/>
      <c r="S130" s="484"/>
      <c r="T130" s="1"/>
      <c r="U130" s="484"/>
      <c r="V130" s="1"/>
      <c r="W130" s="484"/>
      <c r="X130" s="1"/>
      <c r="Y130" s="484"/>
      <c r="Z130" s="1"/>
      <c r="AA130" s="1"/>
      <c r="AB130" s="1"/>
      <c r="AC130" s="1"/>
      <c r="AD130" s="482"/>
      <c r="AE130" s="485"/>
      <c r="AF130" s="486"/>
      <c r="AG130" s="487"/>
      <c r="AH130" s="487"/>
      <c r="AI130" s="488"/>
      <c r="AJ130" s="489"/>
      <c r="AK130" s="648"/>
      <c r="AL130" s="648"/>
      <c r="AM130" s="648"/>
      <c r="AN130" s="648"/>
      <c r="AO130" s="648"/>
      <c r="AP130" s="648"/>
      <c r="AQ130" s="658"/>
      <c r="AR130" s="648"/>
      <c r="AS130" s="658"/>
      <c r="AT130" s="658"/>
      <c r="AU130" s="658"/>
      <c r="AV130" s="658"/>
      <c r="AW130" s="658"/>
      <c r="AX130" s="658"/>
      <c r="AY130" s="658"/>
      <c r="AZ130" s="658"/>
      <c r="BA130" s="658"/>
      <c r="BB130" s="658"/>
      <c r="BC130" s="668"/>
      <c r="BD130" s="658"/>
      <c r="BE130" s="658"/>
      <c r="BF130" s="658"/>
      <c r="BG130" s="658"/>
      <c r="BH130" s="676"/>
      <c r="BI130" s="658"/>
      <c r="BJ130" s="658"/>
      <c r="BK130" s="658"/>
      <c r="BL130" s="658"/>
      <c r="BM130" s="658"/>
      <c r="BN130" s="658"/>
      <c r="BO130" s="675"/>
    </row>
    <row r="131" spans="1:67" s="494" customFormat="1">
      <c r="A131" s="44"/>
      <c r="B131" s="479"/>
      <c r="C131" s="479"/>
      <c r="D131" s="479"/>
      <c r="E131" s="479"/>
      <c r="F131" s="479"/>
      <c r="G131" s="44"/>
      <c r="H131" s="44"/>
      <c r="I131" s="480"/>
      <c r="J131" s="44"/>
      <c r="K131" s="1"/>
      <c r="L131" s="44"/>
      <c r="M131" s="481"/>
      <c r="N131" s="482"/>
      <c r="O131" s="100"/>
      <c r="P131" s="483"/>
      <c r="Q131" s="482"/>
      <c r="R131" s="1"/>
      <c r="S131" s="484"/>
      <c r="T131" s="1"/>
      <c r="U131" s="484"/>
      <c r="V131" s="1"/>
      <c r="W131" s="484"/>
      <c r="X131" s="1"/>
      <c r="Y131" s="484"/>
      <c r="Z131" s="1"/>
      <c r="AA131" s="1"/>
      <c r="AB131" s="1"/>
      <c r="AC131" s="1"/>
      <c r="AD131" s="482"/>
      <c r="AE131" s="485"/>
      <c r="AF131" s="486"/>
      <c r="AG131" s="487"/>
      <c r="AH131" s="487"/>
      <c r="AI131" s="488"/>
      <c r="AJ131" s="489"/>
      <c r="AK131" s="648"/>
      <c r="AL131" s="648"/>
      <c r="AM131" s="648"/>
      <c r="AN131" s="648"/>
      <c r="AO131" s="648"/>
      <c r="AP131" s="648"/>
      <c r="AQ131" s="658"/>
      <c r="AR131" s="648"/>
      <c r="AS131" s="658"/>
      <c r="AT131" s="658"/>
      <c r="AU131" s="658"/>
      <c r="AV131" s="658"/>
      <c r="AW131" s="658"/>
      <c r="AX131" s="658"/>
      <c r="AY131" s="658"/>
      <c r="AZ131" s="658"/>
      <c r="BA131" s="658"/>
      <c r="BB131" s="658"/>
      <c r="BC131" s="668"/>
      <c r="BD131" s="658"/>
      <c r="BE131" s="658"/>
      <c r="BF131" s="658"/>
      <c r="BG131" s="658"/>
      <c r="BH131" s="676"/>
      <c r="BI131" s="658"/>
      <c r="BJ131" s="658"/>
      <c r="BK131" s="658"/>
      <c r="BL131" s="658"/>
      <c r="BM131" s="658"/>
      <c r="BN131" s="658"/>
      <c r="BO131" s="675"/>
    </row>
    <row r="132" spans="1:67" s="494" customFormat="1">
      <c r="A132" s="44"/>
      <c r="B132" s="479"/>
      <c r="C132" s="479"/>
      <c r="D132" s="479"/>
      <c r="E132" s="479"/>
      <c r="F132" s="479"/>
      <c r="G132" s="44"/>
      <c r="H132" s="44"/>
      <c r="I132" s="480"/>
      <c r="J132" s="44"/>
      <c r="K132" s="1"/>
      <c r="L132" s="44"/>
      <c r="M132" s="481"/>
      <c r="N132" s="482"/>
      <c r="O132" s="100"/>
      <c r="P132" s="483"/>
      <c r="Q132" s="482"/>
      <c r="R132" s="1"/>
      <c r="S132" s="484"/>
      <c r="T132" s="1"/>
      <c r="U132" s="484"/>
      <c r="V132" s="1"/>
      <c r="W132" s="484"/>
      <c r="X132" s="1"/>
      <c r="Y132" s="484"/>
      <c r="Z132" s="1"/>
      <c r="AA132" s="1"/>
      <c r="AB132" s="1"/>
      <c r="AC132" s="1"/>
      <c r="AD132" s="482"/>
      <c r="AE132" s="485"/>
      <c r="AF132" s="486"/>
      <c r="AG132" s="487"/>
      <c r="AH132" s="487"/>
      <c r="AI132" s="488"/>
      <c r="AJ132" s="489"/>
      <c r="AK132" s="648"/>
      <c r="AL132" s="648"/>
      <c r="AM132" s="648"/>
      <c r="AN132" s="648"/>
      <c r="AO132" s="648"/>
      <c r="AP132" s="648"/>
      <c r="AQ132" s="658"/>
      <c r="AR132" s="648"/>
      <c r="AS132" s="658"/>
      <c r="AT132" s="658"/>
      <c r="AU132" s="658"/>
      <c r="AV132" s="658"/>
      <c r="AW132" s="658"/>
      <c r="AX132" s="658"/>
      <c r="AY132" s="658"/>
      <c r="AZ132" s="658"/>
      <c r="BA132" s="658"/>
      <c r="BB132" s="658"/>
      <c r="BC132" s="668"/>
      <c r="BD132" s="658"/>
      <c r="BE132" s="658"/>
      <c r="BF132" s="658"/>
      <c r="BG132" s="658"/>
      <c r="BH132" s="676"/>
      <c r="BI132" s="658"/>
      <c r="BJ132" s="658"/>
      <c r="BK132" s="658"/>
      <c r="BL132" s="658"/>
      <c r="BM132" s="658"/>
      <c r="BN132" s="658"/>
      <c r="BO132" s="675"/>
    </row>
    <row r="133" spans="1:67" s="494" customFormat="1">
      <c r="A133" s="44"/>
      <c r="B133" s="479"/>
      <c r="C133" s="479"/>
      <c r="D133" s="479"/>
      <c r="E133" s="479"/>
      <c r="F133" s="479"/>
      <c r="G133" s="44"/>
      <c r="H133" s="44"/>
      <c r="I133" s="480"/>
      <c r="J133" s="44"/>
      <c r="K133" s="1"/>
      <c r="L133" s="44"/>
      <c r="M133" s="481"/>
      <c r="N133" s="482"/>
      <c r="O133" s="100"/>
      <c r="P133" s="483"/>
      <c r="Q133" s="482"/>
      <c r="R133" s="1"/>
      <c r="S133" s="484"/>
      <c r="T133" s="1"/>
      <c r="U133" s="484"/>
      <c r="V133" s="1"/>
      <c r="W133" s="484"/>
      <c r="X133" s="1"/>
      <c r="Y133" s="484"/>
      <c r="Z133" s="1"/>
      <c r="AA133" s="1"/>
      <c r="AB133" s="1"/>
      <c r="AC133" s="1"/>
      <c r="AD133" s="482"/>
      <c r="AE133" s="485"/>
      <c r="AF133" s="486"/>
      <c r="AG133" s="487"/>
      <c r="AH133" s="487"/>
      <c r="AI133" s="488"/>
      <c r="AJ133" s="489"/>
      <c r="AK133" s="648"/>
      <c r="AL133" s="648"/>
      <c r="AM133" s="648"/>
      <c r="AN133" s="648"/>
      <c r="AO133" s="648"/>
      <c r="AP133" s="648"/>
      <c r="AQ133" s="658"/>
      <c r="AR133" s="648"/>
      <c r="AS133" s="658"/>
      <c r="AT133" s="658"/>
      <c r="AU133" s="658"/>
      <c r="AV133" s="658"/>
      <c r="AW133" s="658"/>
      <c r="AX133" s="658"/>
      <c r="AY133" s="658"/>
      <c r="AZ133" s="658"/>
      <c r="BA133" s="658"/>
      <c r="BB133" s="658"/>
      <c r="BC133" s="668"/>
      <c r="BD133" s="658"/>
      <c r="BE133" s="658"/>
      <c r="BF133" s="658"/>
      <c r="BG133" s="658"/>
      <c r="BH133" s="676"/>
      <c r="BI133" s="658"/>
      <c r="BJ133" s="658"/>
      <c r="BK133" s="658"/>
      <c r="BL133" s="658"/>
      <c r="BM133" s="658"/>
      <c r="BN133" s="658"/>
      <c r="BO133" s="675"/>
    </row>
    <row r="134" spans="1:67" s="494" customFormat="1">
      <c r="A134" s="44"/>
      <c r="B134" s="479"/>
      <c r="C134" s="479"/>
      <c r="D134" s="479"/>
      <c r="E134" s="479"/>
      <c r="F134" s="479"/>
      <c r="G134" s="44"/>
      <c r="H134" s="44"/>
      <c r="I134" s="480"/>
      <c r="J134" s="44"/>
      <c r="K134" s="1"/>
      <c r="L134" s="44"/>
      <c r="M134" s="481"/>
      <c r="N134" s="482"/>
      <c r="O134" s="100"/>
      <c r="P134" s="483"/>
      <c r="Q134" s="482"/>
      <c r="R134" s="1"/>
      <c r="S134" s="484"/>
      <c r="T134" s="1"/>
      <c r="U134" s="484"/>
      <c r="V134" s="1"/>
      <c r="W134" s="484"/>
      <c r="X134" s="1"/>
      <c r="Y134" s="484"/>
      <c r="Z134" s="1"/>
      <c r="AA134" s="1"/>
      <c r="AB134" s="1"/>
      <c r="AC134" s="1"/>
      <c r="AD134" s="482"/>
      <c r="AE134" s="485"/>
      <c r="AF134" s="486"/>
      <c r="AG134" s="487"/>
      <c r="AH134" s="487"/>
      <c r="AI134" s="488"/>
      <c r="AJ134" s="489"/>
      <c r="AK134" s="648"/>
      <c r="AL134" s="648"/>
      <c r="AM134" s="648"/>
      <c r="AN134" s="648"/>
      <c r="AO134" s="648"/>
      <c r="AP134" s="648"/>
      <c r="AQ134" s="658"/>
      <c r="AR134" s="648"/>
      <c r="AS134" s="658"/>
      <c r="AT134" s="658"/>
      <c r="AU134" s="658"/>
      <c r="AV134" s="658"/>
      <c r="AW134" s="658"/>
      <c r="AX134" s="658"/>
      <c r="AY134" s="658"/>
      <c r="AZ134" s="658"/>
      <c r="BA134" s="658"/>
      <c r="BB134" s="658"/>
      <c r="BC134" s="668"/>
      <c r="BD134" s="658"/>
      <c r="BE134" s="658"/>
      <c r="BF134" s="658"/>
      <c r="BG134" s="658"/>
      <c r="BH134" s="676"/>
      <c r="BI134" s="658"/>
      <c r="BJ134" s="658"/>
      <c r="BK134" s="658"/>
      <c r="BL134" s="658"/>
      <c r="BM134" s="658"/>
      <c r="BN134" s="658"/>
      <c r="BO134" s="675"/>
    </row>
    <row r="135" spans="1:67" s="494" customFormat="1">
      <c r="A135" s="44"/>
      <c r="B135" s="479"/>
      <c r="C135" s="479"/>
      <c r="D135" s="479"/>
      <c r="E135" s="479"/>
      <c r="F135" s="479"/>
      <c r="G135" s="44"/>
      <c r="H135" s="44"/>
      <c r="I135" s="480"/>
      <c r="J135" s="44"/>
      <c r="K135" s="1"/>
      <c r="L135" s="44"/>
      <c r="M135" s="481"/>
      <c r="N135" s="482"/>
      <c r="O135" s="100"/>
      <c r="P135" s="483"/>
      <c r="Q135" s="482"/>
      <c r="R135" s="1"/>
      <c r="S135" s="484"/>
      <c r="T135" s="1"/>
      <c r="U135" s="484"/>
      <c r="V135" s="1"/>
      <c r="W135" s="484"/>
      <c r="X135" s="1"/>
      <c r="Y135" s="484"/>
      <c r="Z135" s="1"/>
      <c r="AA135" s="1"/>
      <c r="AB135" s="1"/>
      <c r="AC135" s="1"/>
      <c r="AD135" s="482"/>
      <c r="AE135" s="485"/>
      <c r="AF135" s="486"/>
      <c r="AG135" s="487"/>
      <c r="AH135" s="487"/>
      <c r="AI135" s="488"/>
      <c r="AJ135" s="489"/>
      <c r="AK135" s="648"/>
      <c r="AL135" s="648"/>
      <c r="AM135" s="648"/>
      <c r="AN135" s="648"/>
      <c r="AO135" s="648"/>
      <c r="AP135" s="648"/>
      <c r="AQ135" s="658"/>
      <c r="AR135" s="648"/>
      <c r="AS135" s="658"/>
      <c r="AT135" s="658"/>
      <c r="AU135" s="658"/>
      <c r="AV135" s="658"/>
      <c r="AW135" s="658"/>
      <c r="AX135" s="658"/>
      <c r="AY135" s="658"/>
      <c r="AZ135" s="658"/>
      <c r="BA135" s="658"/>
      <c r="BB135" s="658"/>
      <c r="BC135" s="668"/>
      <c r="BD135" s="658"/>
      <c r="BE135" s="658"/>
      <c r="BF135" s="658"/>
      <c r="BG135" s="658"/>
      <c r="BH135" s="676"/>
      <c r="BI135" s="658"/>
      <c r="BJ135" s="658"/>
      <c r="BK135" s="658"/>
      <c r="BL135" s="658"/>
      <c r="BM135" s="658"/>
      <c r="BN135" s="658"/>
      <c r="BO135" s="675"/>
    </row>
    <row r="136" spans="1:67" s="494" customFormat="1">
      <c r="A136" s="44"/>
      <c r="B136" s="479"/>
      <c r="C136" s="479"/>
      <c r="D136" s="479"/>
      <c r="E136" s="479"/>
      <c r="F136" s="479"/>
      <c r="G136" s="44"/>
      <c r="H136" s="44"/>
      <c r="I136" s="480"/>
      <c r="J136" s="44"/>
      <c r="K136" s="1"/>
      <c r="L136" s="44"/>
      <c r="M136" s="481"/>
      <c r="N136" s="482"/>
      <c r="O136" s="100"/>
      <c r="P136" s="483"/>
      <c r="Q136" s="482"/>
      <c r="R136" s="1"/>
      <c r="S136" s="484"/>
      <c r="T136" s="1"/>
      <c r="U136" s="484"/>
      <c r="V136" s="1"/>
      <c r="W136" s="484"/>
      <c r="X136" s="1"/>
      <c r="Y136" s="484"/>
      <c r="Z136" s="1"/>
      <c r="AA136" s="1"/>
      <c r="AB136" s="1"/>
      <c r="AC136" s="1"/>
      <c r="AD136" s="482"/>
      <c r="AE136" s="485"/>
      <c r="AF136" s="486"/>
      <c r="AG136" s="487"/>
      <c r="AH136" s="487"/>
      <c r="AI136" s="488"/>
      <c r="AJ136" s="489"/>
      <c r="AK136" s="648"/>
      <c r="AL136" s="648"/>
      <c r="AM136" s="648"/>
      <c r="AN136" s="648"/>
      <c r="AO136" s="648"/>
      <c r="AP136" s="648"/>
      <c r="AQ136" s="658"/>
      <c r="AR136" s="648"/>
      <c r="AS136" s="658"/>
      <c r="AT136" s="658"/>
      <c r="AU136" s="658"/>
      <c r="AV136" s="658"/>
      <c r="AW136" s="658"/>
      <c r="AX136" s="658"/>
      <c r="AY136" s="658"/>
      <c r="AZ136" s="658"/>
      <c r="BA136" s="658"/>
      <c r="BB136" s="658"/>
      <c r="BC136" s="668"/>
      <c r="BD136" s="658"/>
      <c r="BE136" s="658"/>
      <c r="BF136" s="658"/>
      <c r="BG136" s="658"/>
      <c r="BH136" s="676"/>
      <c r="BI136" s="658"/>
      <c r="BJ136" s="658"/>
      <c r="BK136" s="658"/>
      <c r="BL136" s="658"/>
      <c r="BM136" s="658"/>
      <c r="BN136" s="658"/>
      <c r="BO136" s="675"/>
    </row>
    <row r="137" spans="1:67" s="494" customFormat="1">
      <c r="A137" s="44"/>
      <c r="B137" s="479"/>
      <c r="C137" s="479"/>
      <c r="D137" s="479"/>
      <c r="E137" s="479"/>
      <c r="F137" s="479"/>
      <c r="G137" s="44"/>
      <c r="H137" s="44"/>
      <c r="I137" s="480"/>
      <c r="J137" s="44"/>
      <c r="K137" s="1"/>
      <c r="L137" s="44"/>
      <c r="M137" s="481"/>
      <c r="N137" s="482"/>
      <c r="O137" s="100"/>
      <c r="P137" s="483"/>
      <c r="Q137" s="482"/>
      <c r="R137" s="1"/>
      <c r="S137" s="484"/>
      <c r="T137" s="1"/>
      <c r="U137" s="484"/>
      <c r="V137" s="1"/>
      <c r="W137" s="484"/>
      <c r="X137" s="1"/>
      <c r="Y137" s="484"/>
      <c r="Z137" s="1"/>
      <c r="AA137" s="1"/>
      <c r="AB137" s="1"/>
      <c r="AC137" s="1"/>
      <c r="AD137" s="482"/>
      <c r="AE137" s="485"/>
      <c r="AF137" s="486"/>
      <c r="AG137" s="487"/>
      <c r="AH137" s="487"/>
      <c r="AI137" s="488"/>
      <c r="AJ137" s="489"/>
      <c r="AK137" s="648"/>
      <c r="AL137" s="648"/>
      <c r="AM137" s="648"/>
      <c r="AN137" s="648"/>
      <c r="AO137" s="648"/>
      <c r="AP137" s="648"/>
      <c r="AQ137" s="658"/>
      <c r="AR137" s="648"/>
      <c r="AS137" s="658"/>
      <c r="AT137" s="658"/>
      <c r="AU137" s="658"/>
      <c r="AV137" s="658"/>
      <c r="AW137" s="658"/>
      <c r="AX137" s="658"/>
      <c r="AY137" s="658"/>
      <c r="AZ137" s="658"/>
      <c r="BA137" s="658"/>
      <c r="BB137" s="658"/>
      <c r="BC137" s="668"/>
      <c r="BD137" s="658"/>
      <c r="BE137" s="658"/>
      <c r="BF137" s="658"/>
      <c r="BG137" s="658"/>
      <c r="BH137" s="676"/>
      <c r="BI137" s="658"/>
      <c r="BJ137" s="658"/>
      <c r="BK137" s="658"/>
      <c r="BL137" s="658"/>
      <c r="BM137" s="658"/>
      <c r="BN137" s="658"/>
      <c r="BO137" s="675"/>
    </row>
    <row r="138" spans="1:67" s="494" customFormat="1">
      <c r="A138" s="44"/>
      <c r="B138" s="479"/>
      <c r="C138" s="479"/>
      <c r="D138" s="479"/>
      <c r="E138" s="479"/>
      <c r="F138" s="479"/>
      <c r="G138" s="44"/>
      <c r="H138" s="44"/>
      <c r="I138" s="480"/>
      <c r="J138" s="44"/>
      <c r="K138" s="1"/>
      <c r="L138" s="44"/>
      <c r="M138" s="481"/>
      <c r="N138" s="482"/>
      <c r="O138" s="100"/>
      <c r="P138" s="483"/>
      <c r="Q138" s="482"/>
      <c r="R138" s="1"/>
      <c r="S138" s="484"/>
      <c r="T138" s="1"/>
      <c r="U138" s="484"/>
      <c r="V138" s="1"/>
      <c r="W138" s="484"/>
      <c r="X138" s="1"/>
      <c r="Y138" s="484"/>
      <c r="Z138" s="1"/>
      <c r="AA138" s="1"/>
      <c r="AB138" s="1"/>
      <c r="AC138" s="1"/>
      <c r="AD138" s="482"/>
      <c r="AE138" s="485"/>
      <c r="AF138" s="486"/>
      <c r="AG138" s="487"/>
      <c r="AH138" s="487"/>
      <c r="AI138" s="488"/>
      <c r="AJ138" s="489"/>
      <c r="AK138" s="648"/>
      <c r="AL138" s="648"/>
      <c r="AM138" s="648"/>
      <c r="AN138" s="648"/>
      <c r="AO138" s="648"/>
      <c r="AP138" s="648"/>
      <c r="AQ138" s="658"/>
      <c r="AR138" s="648"/>
      <c r="AS138" s="658"/>
      <c r="AT138" s="658"/>
      <c r="AU138" s="658"/>
      <c r="AV138" s="658"/>
      <c r="AW138" s="658"/>
      <c r="AX138" s="658"/>
      <c r="AY138" s="658"/>
      <c r="AZ138" s="658"/>
      <c r="BA138" s="658"/>
      <c r="BB138" s="658"/>
      <c r="BC138" s="668"/>
      <c r="BD138" s="658"/>
      <c r="BE138" s="658"/>
      <c r="BF138" s="658"/>
      <c r="BG138" s="658"/>
      <c r="BH138" s="676"/>
      <c r="BI138" s="658"/>
      <c r="BJ138" s="658"/>
      <c r="BK138" s="658"/>
      <c r="BL138" s="658"/>
      <c r="BM138" s="658"/>
      <c r="BN138" s="658"/>
      <c r="BO138" s="675"/>
    </row>
    <row r="139" spans="1:67" s="494" customFormat="1">
      <c r="A139" s="44"/>
      <c r="B139" s="479"/>
      <c r="C139" s="479"/>
      <c r="D139" s="479"/>
      <c r="E139" s="479"/>
      <c r="F139" s="479"/>
      <c r="G139" s="44"/>
      <c r="H139" s="44"/>
      <c r="I139" s="480"/>
      <c r="J139" s="44"/>
      <c r="K139" s="1"/>
      <c r="L139" s="44"/>
      <c r="M139" s="481"/>
      <c r="N139" s="482"/>
      <c r="O139" s="100"/>
      <c r="P139" s="483"/>
      <c r="Q139" s="482"/>
      <c r="R139" s="1"/>
      <c r="S139" s="484"/>
      <c r="T139" s="1"/>
      <c r="U139" s="484"/>
      <c r="V139" s="1"/>
      <c r="W139" s="484"/>
      <c r="X139" s="1"/>
      <c r="Y139" s="484"/>
      <c r="Z139" s="1"/>
      <c r="AA139" s="1"/>
      <c r="AB139" s="1"/>
      <c r="AC139" s="1"/>
      <c r="AD139" s="482"/>
      <c r="AE139" s="485"/>
      <c r="AF139" s="486"/>
      <c r="AG139" s="487"/>
      <c r="AH139" s="487"/>
      <c r="AI139" s="488"/>
      <c r="AJ139" s="489"/>
      <c r="AK139" s="648"/>
      <c r="AL139" s="648"/>
      <c r="AM139" s="648"/>
      <c r="AN139" s="648"/>
      <c r="AO139" s="648"/>
      <c r="AP139" s="648"/>
      <c r="AQ139" s="658"/>
      <c r="AR139" s="648"/>
      <c r="AS139" s="658"/>
      <c r="AT139" s="658"/>
      <c r="AU139" s="658"/>
      <c r="AV139" s="658"/>
      <c r="AW139" s="658"/>
      <c r="AX139" s="658"/>
      <c r="AY139" s="658"/>
      <c r="AZ139" s="658"/>
      <c r="BA139" s="658"/>
      <c r="BB139" s="658"/>
      <c r="BC139" s="668"/>
      <c r="BD139" s="658"/>
      <c r="BE139" s="658"/>
      <c r="BF139" s="658"/>
      <c r="BG139" s="658"/>
      <c r="BH139" s="676"/>
      <c r="BI139" s="658"/>
      <c r="BJ139" s="658"/>
      <c r="BK139" s="658"/>
      <c r="BL139" s="658"/>
      <c r="BM139" s="658"/>
      <c r="BN139" s="658"/>
      <c r="BO139" s="675"/>
    </row>
    <row r="140" spans="1:67" s="494" customFormat="1">
      <c r="A140" s="44"/>
      <c r="B140" s="479"/>
      <c r="C140" s="479"/>
      <c r="D140" s="479"/>
      <c r="E140" s="479"/>
      <c r="F140" s="479"/>
      <c r="G140" s="44"/>
      <c r="H140" s="44"/>
      <c r="I140" s="480"/>
      <c r="J140" s="44"/>
      <c r="K140" s="1"/>
      <c r="L140" s="44"/>
      <c r="M140" s="481"/>
      <c r="N140" s="482"/>
      <c r="O140" s="100"/>
      <c r="P140" s="483"/>
      <c r="Q140" s="482"/>
      <c r="R140" s="1"/>
      <c r="S140" s="484"/>
      <c r="T140" s="1"/>
      <c r="U140" s="484"/>
      <c r="V140" s="1"/>
      <c r="W140" s="484"/>
      <c r="X140" s="1"/>
      <c r="Y140" s="484"/>
      <c r="Z140" s="1"/>
      <c r="AA140" s="1"/>
      <c r="AB140" s="1"/>
      <c r="AC140" s="1"/>
      <c r="AD140" s="482"/>
      <c r="AE140" s="485"/>
      <c r="AF140" s="486"/>
      <c r="AG140" s="487"/>
      <c r="AH140" s="487"/>
      <c r="AI140" s="488"/>
      <c r="AJ140" s="489"/>
      <c r="AK140" s="648"/>
      <c r="AL140" s="648"/>
      <c r="AM140" s="648"/>
      <c r="AN140" s="648"/>
      <c r="AO140" s="648"/>
      <c r="AP140" s="648"/>
      <c r="AQ140" s="658"/>
      <c r="AR140" s="648"/>
      <c r="AS140" s="658"/>
      <c r="AT140" s="658"/>
      <c r="AU140" s="658"/>
      <c r="AV140" s="658"/>
      <c r="AW140" s="658"/>
      <c r="AX140" s="658"/>
      <c r="AY140" s="658"/>
      <c r="AZ140" s="658"/>
      <c r="BA140" s="658"/>
      <c r="BB140" s="658"/>
      <c r="BC140" s="668"/>
      <c r="BD140" s="658"/>
      <c r="BE140" s="658"/>
      <c r="BF140" s="658"/>
      <c r="BG140" s="658"/>
      <c r="BH140" s="676"/>
      <c r="BI140" s="658"/>
      <c r="BJ140" s="658"/>
      <c r="BK140" s="658"/>
      <c r="BL140" s="658"/>
      <c r="BM140" s="658"/>
      <c r="BN140" s="658"/>
      <c r="BO140" s="675"/>
    </row>
    <row r="141" spans="1:67" s="494" customFormat="1">
      <c r="A141" s="44"/>
      <c r="B141" s="479"/>
      <c r="C141" s="479"/>
      <c r="D141" s="479"/>
      <c r="E141" s="479"/>
      <c r="F141" s="479"/>
      <c r="G141" s="44"/>
      <c r="H141" s="44"/>
      <c r="I141" s="480"/>
      <c r="J141" s="44"/>
      <c r="K141" s="1"/>
      <c r="L141" s="44"/>
      <c r="M141" s="481"/>
      <c r="N141" s="482"/>
      <c r="O141" s="100"/>
      <c r="P141" s="483"/>
      <c r="Q141" s="482"/>
      <c r="R141" s="1"/>
      <c r="S141" s="484"/>
      <c r="T141" s="1"/>
      <c r="U141" s="484"/>
      <c r="V141" s="1"/>
      <c r="W141" s="484"/>
      <c r="X141" s="1"/>
      <c r="Y141" s="484"/>
      <c r="Z141" s="1"/>
      <c r="AA141" s="1"/>
      <c r="AB141" s="1"/>
      <c r="AC141" s="1"/>
      <c r="AD141" s="482"/>
      <c r="AE141" s="485"/>
      <c r="AF141" s="486"/>
      <c r="AG141" s="487"/>
      <c r="AH141" s="487"/>
      <c r="AI141" s="488"/>
      <c r="AJ141" s="489"/>
      <c r="AK141" s="648"/>
      <c r="AL141" s="648"/>
      <c r="AM141" s="648"/>
      <c r="AN141" s="648"/>
      <c r="AO141" s="648"/>
      <c r="AP141" s="648"/>
      <c r="AQ141" s="658"/>
      <c r="AR141" s="648"/>
      <c r="AS141" s="658"/>
      <c r="AT141" s="658"/>
      <c r="AU141" s="658"/>
      <c r="AV141" s="658"/>
      <c r="AW141" s="658"/>
      <c r="AX141" s="658"/>
      <c r="AY141" s="658"/>
      <c r="AZ141" s="658"/>
      <c r="BA141" s="658"/>
      <c r="BB141" s="658"/>
      <c r="BC141" s="668"/>
      <c r="BD141" s="658"/>
      <c r="BE141" s="658"/>
      <c r="BF141" s="658"/>
      <c r="BG141" s="658"/>
      <c r="BH141" s="676"/>
      <c r="BI141" s="658"/>
      <c r="BJ141" s="658"/>
      <c r="BK141" s="658"/>
      <c r="BL141" s="658"/>
      <c r="BM141" s="658"/>
      <c r="BN141" s="658"/>
      <c r="BO141" s="675"/>
    </row>
    <row r="142" spans="1:67" s="494" customFormat="1">
      <c r="A142" s="44"/>
      <c r="B142" s="479"/>
      <c r="C142" s="479"/>
      <c r="D142" s="479"/>
      <c r="E142" s="479"/>
      <c r="F142" s="479"/>
      <c r="G142" s="44"/>
      <c r="H142" s="44"/>
      <c r="I142" s="480"/>
      <c r="J142" s="44"/>
      <c r="K142" s="1"/>
      <c r="L142" s="44"/>
      <c r="M142" s="481"/>
      <c r="N142" s="482"/>
      <c r="O142" s="100"/>
      <c r="P142" s="483"/>
      <c r="Q142" s="482"/>
      <c r="R142" s="1"/>
      <c r="S142" s="484"/>
      <c r="T142" s="1"/>
      <c r="U142" s="484"/>
      <c r="V142" s="1"/>
      <c r="W142" s="484"/>
      <c r="X142" s="1"/>
      <c r="Y142" s="484"/>
      <c r="Z142" s="1"/>
      <c r="AA142" s="1"/>
      <c r="AB142" s="1"/>
      <c r="AC142" s="1"/>
      <c r="AD142" s="482"/>
      <c r="AE142" s="485"/>
      <c r="AF142" s="486"/>
      <c r="AG142" s="487"/>
      <c r="AH142" s="487"/>
      <c r="AI142" s="488"/>
      <c r="AJ142" s="489"/>
      <c r="AK142" s="648"/>
      <c r="AL142" s="648"/>
      <c r="AM142" s="648"/>
      <c r="AN142" s="648"/>
      <c r="AO142" s="648"/>
      <c r="AP142" s="648"/>
      <c r="AQ142" s="658"/>
      <c r="AR142" s="648"/>
      <c r="AS142" s="658"/>
      <c r="AT142" s="658"/>
      <c r="AU142" s="658"/>
      <c r="AV142" s="658"/>
      <c r="AW142" s="658"/>
      <c r="AX142" s="658"/>
      <c r="AY142" s="658"/>
      <c r="AZ142" s="658"/>
      <c r="BA142" s="658"/>
      <c r="BB142" s="658"/>
      <c r="BC142" s="668"/>
      <c r="BD142" s="658"/>
      <c r="BE142" s="658"/>
      <c r="BF142" s="658"/>
      <c r="BG142" s="658"/>
      <c r="BH142" s="676"/>
      <c r="BI142" s="658"/>
      <c r="BJ142" s="658"/>
      <c r="BK142" s="658"/>
      <c r="BL142" s="658"/>
      <c r="BM142" s="658"/>
      <c r="BN142" s="658"/>
      <c r="BO142" s="675"/>
    </row>
    <row r="143" spans="1:67" s="494" customFormat="1">
      <c r="A143" s="44"/>
      <c r="B143" s="479"/>
      <c r="C143" s="479"/>
      <c r="D143" s="479"/>
      <c r="E143" s="479"/>
      <c r="F143" s="479"/>
      <c r="G143" s="44"/>
      <c r="H143" s="44"/>
      <c r="I143" s="480"/>
      <c r="J143" s="44"/>
      <c r="K143" s="1"/>
      <c r="L143" s="44"/>
      <c r="M143" s="481"/>
      <c r="N143" s="482"/>
      <c r="O143" s="100"/>
      <c r="P143" s="483"/>
      <c r="Q143" s="482"/>
      <c r="R143" s="1"/>
      <c r="S143" s="484"/>
      <c r="T143" s="1"/>
      <c r="U143" s="484"/>
      <c r="V143" s="1"/>
      <c r="W143" s="484"/>
      <c r="X143" s="1"/>
      <c r="Y143" s="484"/>
      <c r="Z143" s="1"/>
      <c r="AA143" s="1"/>
      <c r="AB143" s="1"/>
      <c r="AC143" s="1"/>
      <c r="AD143" s="482"/>
      <c r="AE143" s="485"/>
      <c r="AF143" s="486"/>
      <c r="AG143" s="487"/>
      <c r="AH143" s="487"/>
      <c r="AI143" s="488"/>
      <c r="AJ143" s="489"/>
      <c r="AK143" s="648"/>
      <c r="AL143" s="648"/>
      <c r="AM143" s="648"/>
      <c r="AN143" s="648"/>
      <c r="AO143" s="648"/>
      <c r="AP143" s="648"/>
      <c r="AQ143" s="658"/>
      <c r="AR143" s="648"/>
      <c r="AS143" s="658"/>
      <c r="AT143" s="658"/>
      <c r="AU143" s="658"/>
      <c r="AV143" s="658"/>
      <c r="AW143" s="658"/>
      <c r="AX143" s="658"/>
      <c r="AY143" s="658"/>
      <c r="AZ143" s="658"/>
      <c r="BA143" s="658"/>
      <c r="BB143" s="658"/>
      <c r="BC143" s="668"/>
      <c r="BD143" s="658"/>
      <c r="BE143" s="658"/>
      <c r="BF143" s="658"/>
      <c r="BG143" s="658"/>
      <c r="BH143" s="676"/>
      <c r="BI143" s="658"/>
      <c r="BJ143" s="658"/>
      <c r="BK143" s="658"/>
      <c r="BL143" s="658"/>
      <c r="BM143" s="658"/>
      <c r="BN143" s="658"/>
      <c r="BO143" s="675"/>
    </row>
    <row r="144" spans="1:67" s="494" customFormat="1">
      <c r="A144" s="44"/>
      <c r="B144" s="479"/>
      <c r="C144" s="479"/>
      <c r="D144" s="479"/>
      <c r="E144" s="479"/>
      <c r="F144" s="479"/>
      <c r="G144" s="44"/>
      <c r="H144" s="44"/>
      <c r="I144" s="480"/>
      <c r="J144" s="44"/>
      <c r="K144" s="1"/>
      <c r="L144" s="44"/>
      <c r="M144" s="481"/>
      <c r="N144" s="482"/>
      <c r="O144" s="100"/>
      <c r="P144" s="483"/>
      <c r="Q144" s="482"/>
      <c r="R144" s="1"/>
      <c r="S144" s="484"/>
      <c r="T144" s="1"/>
      <c r="U144" s="484"/>
      <c r="V144" s="1"/>
      <c r="W144" s="484"/>
      <c r="X144" s="1"/>
      <c r="Y144" s="484"/>
      <c r="Z144" s="1"/>
      <c r="AA144" s="1"/>
      <c r="AB144" s="1"/>
      <c r="AC144" s="1"/>
      <c r="AD144" s="482"/>
      <c r="AE144" s="485"/>
      <c r="AF144" s="486"/>
      <c r="AG144" s="487"/>
      <c r="AH144" s="487"/>
      <c r="AI144" s="488"/>
      <c r="AJ144" s="489"/>
      <c r="AK144" s="648"/>
      <c r="AL144" s="648"/>
      <c r="AM144" s="648"/>
      <c r="AN144" s="648"/>
      <c r="AO144" s="648"/>
      <c r="AP144" s="648"/>
      <c r="AQ144" s="658"/>
      <c r="AR144" s="648"/>
      <c r="AS144" s="658"/>
      <c r="AT144" s="658"/>
      <c r="AU144" s="658"/>
      <c r="AV144" s="658"/>
      <c r="AW144" s="658"/>
      <c r="AX144" s="658"/>
      <c r="AY144" s="658"/>
      <c r="AZ144" s="658"/>
      <c r="BA144" s="658"/>
      <c r="BB144" s="658"/>
      <c r="BC144" s="668"/>
      <c r="BD144" s="658"/>
      <c r="BE144" s="658"/>
      <c r="BF144" s="658"/>
      <c r="BG144" s="658"/>
      <c r="BH144" s="676"/>
      <c r="BI144" s="658"/>
      <c r="BJ144" s="658"/>
      <c r="BK144" s="658"/>
      <c r="BL144" s="658"/>
      <c r="BM144" s="658"/>
      <c r="BN144" s="658"/>
      <c r="BO144" s="675"/>
    </row>
    <row r="145" spans="1:67" s="494" customFormat="1">
      <c r="A145" s="44"/>
      <c r="B145" s="479"/>
      <c r="C145" s="479"/>
      <c r="D145" s="479"/>
      <c r="E145" s="479"/>
      <c r="F145" s="479"/>
      <c r="G145" s="44"/>
      <c r="H145" s="44"/>
      <c r="I145" s="480"/>
      <c r="J145" s="44"/>
      <c r="K145" s="1"/>
      <c r="L145" s="44"/>
      <c r="M145" s="481"/>
      <c r="N145" s="482"/>
      <c r="O145" s="100"/>
      <c r="P145" s="483"/>
      <c r="Q145" s="482"/>
      <c r="R145" s="1"/>
      <c r="S145" s="484"/>
      <c r="T145" s="1"/>
      <c r="U145" s="484"/>
      <c r="V145" s="1"/>
      <c r="W145" s="484"/>
      <c r="X145" s="1"/>
      <c r="Y145" s="484"/>
      <c r="Z145" s="1"/>
      <c r="AA145" s="1"/>
      <c r="AB145" s="1"/>
      <c r="AC145" s="1"/>
      <c r="AD145" s="482"/>
      <c r="AE145" s="485"/>
      <c r="AF145" s="486"/>
      <c r="AG145" s="487"/>
      <c r="AH145" s="487"/>
      <c r="AI145" s="488"/>
      <c r="AJ145" s="489"/>
      <c r="AK145" s="648"/>
      <c r="AL145" s="648"/>
      <c r="AM145" s="648"/>
      <c r="AN145" s="648"/>
      <c r="AO145" s="648"/>
      <c r="AP145" s="648"/>
      <c r="AQ145" s="658"/>
      <c r="AR145" s="648"/>
      <c r="AS145" s="658"/>
      <c r="AT145" s="658"/>
      <c r="AU145" s="658"/>
      <c r="AV145" s="658"/>
      <c r="AW145" s="658"/>
      <c r="AX145" s="658"/>
      <c r="AY145" s="658"/>
      <c r="AZ145" s="658"/>
      <c r="BA145" s="658"/>
      <c r="BB145" s="658"/>
      <c r="BC145" s="668"/>
      <c r="BD145" s="658"/>
      <c r="BE145" s="658"/>
      <c r="BF145" s="658"/>
      <c r="BG145" s="658"/>
      <c r="BH145" s="676"/>
      <c r="BI145" s="658"/>
      <c r="BJ145" s="658"/>
      <c r="BK145" s="658"/>
      <c r="BL145" s="658"/>
      <c r="BM145" s="658"/>
      <c r="BN145" s="658"/>
      <c r="BO145" s="675"/>
    </row>
    <row r="146" spans="1:67" s="494" customFormat="1">
      <c r="A146" s="44"/>
      <c r="B146" s="479"/>
      <c r="C146" s="479"/>
      <c r="D146" s="479"/>
      <c r="E146" s="479"/>
      <c r="F146" s="479"/>
      <c r="G146" s="44"/>
      <c r="H146" s="44"/>
      <c r="I146" s="480"/>
      <c r="J146" s="44"/>
      <c r="K146" s="1"/>
      <c r="L146" s="44"/>
      <c r="M146" s="481"/>
      <c r="N146" s="482"/>
      <c r="O146" s="100"/>
      <c r="P146" s="483"/>
      <c r="Q146" s="482"/>
      <c r="R146" s="1"/>
      <c r="S146" s="484"/>
      <c r="T146" s="1"/>
      <c r="U146" s="484"/>
      <c r="V146" s="1"/>
      <c r="W146" s="484"/>
      <c r="X146" s="1"/>
      <c r="Y146" s="484"/>
      <c r="Z146" s="1"/>
      <c r="AA146" s="1"/>
      <c r="AB146" s="1"/>
      <c r="AC146" s="1"/>
      <c r="AD146" s="482"/>
      <c r="AE146" s="485"/>
      <c r="AF146" s="486"/>
      <c r="AG146" s="487"/>
      <c r="AH146" s="487"/>
      <c r="AI146" s="488"/>
      <c r="AJ146" s="489"/>
      <c r="AK146" s="648"/>
      <c r="AL146" s="648"/>
      <c r="AM146" s="648"/>
      <c r="AN146" s="648"/>
      <c r="AO146" s="648"/>
      <c r="AP146" s="648"/>
      <c r="AQ146" s="658"/>
      <c r="AR146" s="648"/>
      <c r="AS146" s="658"/>
      <c r="AT146" s="658"/>
      <c r="AU146" s="658"/>
      <c r="AV146" s="658"/>
      <c r="AW146" s="658"/>
      <c r="AX146" s="658"/>
      <c r="AY146" s="658"/>
      <c r="AZ146" s="658"/>
      <c r="BA146" s="658"/>
      <c r="BB146" s="658"/>
      <c r="BC146" s="668"/>
      <c r="BD146" s="658"/>
      <c r="BE146" s="658"/>
      <c r="BF146" s="658"/>
      <c r="BG146" s="658"/>
      <c r="BH146" s="676"/>
      <c r="BI146" s="658"/>
      <c r="BJ146" s="658"/>
      <c r="BK146" s="658"/>
      <c r="BL146" s="658"/>
      <c r="BM146" s="658"/>
      <c r="BN146" s="658"/>
      <c r="BO146" s="675"/>
    </row>
    <row r="147" spans="1:67" s="494" customFormat="1">
      <c r="A147" s="44"/>
      <c r="B147" s="479"/>
      <c r="C147" s="479"/>
      <c r="D147" s="479"/>
      <c r="E147" s="479"/>
      <c r="F147" s="479"/>
      <c r="G147" s="44"/>
      <c r="H147" s="44"/>
      <c r="I147" s="480"/>
      <c r="J147" s="44"/>
      <c r="K147" s="1"/>
      <c r="L147" s="44"/>
      <c r="M147" s="481"/>
      <c r="N147" s="482"/>
      <c r="O147" s="100"/>
      <c r="P147" s="483"/>
      <c r="Q147" s="482"/>
      <c r="R147" s="1"/>
      <c r="S147" s="484"/>
      <c r="T147" s="1"/>
      <c r="U147" s="484"/>
      <c r="V147" s="1"/>
      <c r="W147" s="484"/>
      <c r="X147" s="1"/>
      <c r="Y147" s="484"/>
      <c r="Z147" s="1"/>
      <c r="AA147" s="1"/>
      <c r="AB147" s="1"/>
      <c r="AC147" s="1"/>
      <c r="AD147" s="482"/>
      <c r="AE147" s="485"/>
      <c r="AF147" s="486"/>
      <c r="AG147" s="487"/>
      <c r="AH147" s="487"/>
      <c r="AI147" s="488"/>
      <c r="AJ147" s="489"/>
      <c r="AK147" s="648"/>
      <c r="AL147" s="648"/>
      <c r="AM147" s="648"/>
      <c r="AN147" s="648"/>
      <c r="AO147" s="648"/>
      <c r="AP147" s="648"/>
      <c r="AQ147" s="658"/>
      <c r="AR147" s="648"/>
      <c r="AS147" s="658"/>
      <c r="AT147" s="658"/>
      <c r="AU147" s="658"/>
      <c r="AV147" s="658"/>
      <c r="AW147" s="658"/>
      <c r="AX147" s="658"/>
      <c r="AY147" s="658"/>
      <c r="AZ147" s="658"/>
      <c r="BA147" s="658"/>
      <c r="BB147" s="658"/>
      <c r="BC147" s="668"/>
      <c r="BD147" s="658"/>
      <c r="BE147" s="658"/>
      <c r="BF147" s="658"/>
      <c r="BG147" s="658"/>
      <c r="BH147" s="676"/>
      <c r="BI147" s="658"/>
      <c r="BJ147" s="658"/>
      <c r="BK147" s="658"/>
      <c r="BL147" s="658"/>
      <c r="BM147" s="658"/>
      <c r="BN147" s="658"/>
      <c r="BO147" s="675"/>
    </row>
    <row r="148" spans="1:67" s="494" customFormat="1">
      <c r="A148" s="44"/>
      <c r="B148" s="479"/>
      <c r="C148" s="479"/>
      <c r="D148" s="479"/>
      <c r="E148" s="479"/>
      <c r="F148" s="479"/>
      <c r="G148" s="44"/>
      <c r="H148" s="44"/>
      <c r="I148" s="480"/>
      <c r="J148" s="44"/>
      <c r="K148" s="1"/>
      <c r="L148" s="44"/>
      <c r="M148" s="481"/>
      <c r="N148" s="482"/>
      <c r="O148" s="100"/>
      <c r="P148" s="483"/>
      <c r="Q148" s="482"/>
      <c r="R148" s="1"/>
      <c r="S148" s="484"/>
      <c r="T148" s="1"/>
      <c r="U148" s="484"/>
      <c r="V148" s="1"/>
      <c r="W148" s="484"/>
      <c r="X148" s="1"/>
      <c r="Y148" s="484"/>
      <c r="Z148" s="1"/>
      <c r="AA148" s="1"/>
      <c r="AB148" s="1"/>
      <c r="AC148" s="1"/>
      <c r="AD148" s="482"/>
      <c r="AE148" s="485"/>
      <c r="AF148" s="486"/>
      <c r="AG148" s="487"/>
      <c r="AH148" s="487"/>
      <c r="AI148" s="488"/>
      <c r="AJ148" s="489"/>
      <c r="AK148" s="648"/>
      <c r="AL148" s="648"/>
      <c r="AM148" s="648"/>
      <c r="AN148" s="648"/>
      <c r="AO148" s="648"/>
      <c r="AP148" s="648"/>
      <c r="AQ148" s="658"/>
      <c r="AR148" s="648"/>
      <c r="AS148" s="658"/>
      <c r="AT148" s="658"/>
      <c r="AU148" s="658"/>
      <c r="AV148" s="658"/>
      <c r="AW148" s="658"/>
      <c r="AX148" s="658"/>
      <c r="AY148" s="658"/>
      <c r="AZ148" s="658"/>
      <c r="BA148" s="658"/>
      <c r="BB148" s="658"/>
      <c r="BC148" s="668"/>
      <c r="BD148" s="658"/>
      <c r="BE148" s="658"/>
      <c r="BF148" s="658"/>
      <c r="BG148" s="658"/>
      <c r="BH148" s="676"/>
      <c r="BI148" s="658"/>
      <c r="BJ148" s="658"/>
      <c r="BK148" s="658"/>
      <c r="BL148" s="658"/>
      <c r="BM148" s="658"/>
      <c r="BN148" s="658"/>
      <c r="BO148" s="675"/>
    </row>
    <row r="149" spans="1:67" s="494" customFormat="1">
      <c r="A149" s="44"/>
      <c r="B149" s="479"/>
      <c r="C149" s="479"/>
      <c r="D149" s="479"/>
      <c r="E149" s="479"/>
      <c r="F149" s="479"/>
      <c r="G149" s="44"/>
      <c r="H149" s="44"/>
      <c r="I149" s="480"/>
      <c r="J149" s="44"/>
      <c r="K149" s="1"/>
      <c r="L149" s="44"/>
      <c r="M149" s="481"/>
      <c r="N149" s="482"/>
      <c r="O149" s="100"/>
      <c r="P149" s="483"/>
      <c r="Q149" s="482"/>
      <c r="R149" s="1"/>
      <c r="S149" s="484"/>
      <c r="T149" s="1"/>
      <c r="U149" s="484"/>
      <c r="V149" s="1"/>
      <c r="W149" s="484"/>
      <c r="X149" s="1"/>
      <c r="Y149" s="484"/>
      <c r="Z149" s="1"/>
      <c r="AA149" s="1"/>
      <c r="AB149" s="1"/>
      <c r="AC149" s="1"/>
      <c r="AD149" s="482"/>
      <c r="AE149" s="485"/>
      <c r="AF149" s="486"/>
      <c r="AG149" s="487"/>
      <c r="AH149" s="487"/>
      <c r="AI149" s="488"/>
      <c r="AJ149" s="489"/>
      <c r="AK149" s="648"/>
      <c r="AL149" s="648"/>
      <c r="AM149" s="648"/>
      <c r="AN149" s="648"/>
      <c r="AO149" s="648"/>
      <c r="AP149" s="648"/>
      <c r="AQ149" s="658"/>
      <c r="AR149" s="648"/>
      <c r="AS149" s="658"/>
      <c r="AT149" s="658"/>
      <c r="AU149" s="658"/>
      <c r="AV149" s="658"/>
      <c r="AW149" s="658"/>
      <c r="AX149" s="658"/>
      <c r="AY149" s="658"/>
      <c r="AZ149" s="658"/>
      <c r="BA149" s="658"/>
      <c r="BB149" s="658"/>
      <c r="BC149" s="668"/>
      <c r="BD149" s="658"/>
      <c r="BE149" s="658"/>
      <c r="BF149" s="658"/>
      <c r="BG149" s="658"/>
      <c r="BH149" s="676"/>
      <c r="BI149" s="658"/>
      <c r="BJ149" s="658"/>
      <c r="BK149" s="658"/>
      <c r="BL149" s="658"/>
      <c r="BM149" s="658"/>
      <c r="BN149" s="658"/>
      <c r="BO149" s="675"/>
    </row>
    <row r="150" spans="1:67" s="494" customFormat="1">
      <c r="A150" s="44"/>
      <c r="B150" s="479"/>
      <c r="C150" s="479"/>
      <c r="D150" s="479"/>
      <c r="E150" s="479"/>
      <c r="F150" s="479"/>
      <c r="G150" s="44"/>
      <c r="H150" s="44"/>
      <c r="I150" s="480"/>
      <c r="J150" s="44"/>
      <c r="K150" s="1"/>
      <c r="L150" s="44"/>
      <c r="M150" s="481"/>
      <c r="N150" s="482"/>
      <c r="O150" s="100"/>
      <c r="P150" s="483"/>
      <c r="Q150" s="482"/>
      <c r="R150" s="1"/>
      <c r="S150" s="484"/>
      <c r="T150" s="1"/>
      <c r="U150" s="484"/>
      <c r="V150" s="1"/>
      <c r="W150" s="484"/>
      <c r="X150" s="1"/>
      <c r="Y150" s="484"/>
      <c r="Z150" s="1"/>
      <c r="AA150" s="1"/>
      <c r="AB150" s="1"/>
      <c r="AC150" s="1"/>
      <c r="AD150" s="482"/>
      <c r="AE150" s="485"/>
      <c r="AF150" s="486"/>
      <c r="AG150" s="487"/>
      <c r="AH150" s="487"/>
      <c r="AI150" s="488"/>
      <c r="AJ150" s="489"/>
      <c r="AK150" s="648"/>
      <c r="AL150" s="648"/>
      <c r="AM150" s="648"/>
      <c r="AN150" s="648"/>
      <c r="AO150" s="648"/>
      <c r="AP150" s="648"/>
      <c r="AQ150" s="658"/>
      <c r="AR150" s="648"/>
      <c r="AS150" s="658"/>
      <c r="AT150" s="658"/>
      <c r="AU150" s="658"/>
      <c r="AV150" s="658"/>
      <c r="AW150" s="658"/>
      <c r="AX150" s="658"/>
      <c r="AY150" s="658"/>
      <c r="AZ150" s="658"/>
      <c r="BA150" s="658"/>
      <c r="BB150" s="658"/>
      <c r="BC150" s="668"/>
      <c r="BD150" s="658"/>
      <c r="BE150" s="658"/>
      <c r="BF150" s="658"/>
      <c r="BG150" s="658"/>
      <c r="BH150" s="676"/>
      <c r="BI150" s="658"/>
      <c r="BJ150" s="658"/>
      <c r="BK150" s="658"/>
      <c r="BL150" s="658"/>
      <c r="BM150" s="658"/>
      <c r="BN150" s="658"/>
      <c r="BO150" s="675"/>
    </row>
    <row r="151" spans="1:67" s="494" customFormat="1">
      <c r="A151" s="44"/>
      <c r="B151" s="479"/>
      <c r="C151" s="479"/>
      <c r="D151" s="479"/>
      <c r="E151" s="479"/>
      <c r="F151" s="479"/>
      <c r="G151" s="44"/>
      <c r="H151" s="44"/>
      <c r="I151" s="480"/>
      <c r="J151" s="44"/>
      <c r="K151" s="1"/>
      <c r="L151" s="44"/>
      <c r="M151" s="481"/>
      <c r="N151" s="482"/>
      <c r="O151" s="100"/>
      <c r="P151" s="483"/>
      <c r="Q151" s="482"/>
      <c r="R151" s="1"/>
      <c r="S151" s="484"/>
      <c r="T151" s="1"/>
      <c r="U151" s="484"/>
      <c r="V151" s="1"/>
      <c r="W151" s="484"/>
      <c r="X151" s="1"/>
      <c r="Y151" s="484"/>
      <c r="Z151" s="1"/>
      <c r="AA151" s="1"/>
      <c r="AB151" s="1"/>
      <c r="AC151" s="1"/>
      <c r="AD151" s="482"/>
      <c r="AE151" s="485"/>
      <c r="AF151" s="486"/>
      <c r="AG151" s="487"/>
      <c r="AH151" s="487"/>
      <c r="AI151" s="488"/>
      <c r="AJ151" s="489"/>
      <c r="AK151" s="648"/>
      <c r="AL151" s="648"/>
      <c r="AM151" s="648"/>
      <c r="AN151" s="648"/>
      <c r="AO151" s="648"/>
      <c r="AP151" s="648"/>
      <c r="AQ151" s="658"/>
      <c r="AR151" s="648"/>
      <c r="AS151" s="658"/>
      <c r="AT151" s="658"/>
      <c r="AU151" s="658"/>
      <c r="AV151" s="658"/>
      <c r="AW151" s="658"/>
      <c r="AX151" s="658"/>
      <c r="AY151" s="658"/>
      <c r="AZ151" s="658"/>
      <c r="BA151" s="658"/>
      <c r="BB151" s="658"/>
      <c r="BC151" s="668"/>
      <c r="BD151" s="658"/>
      <c r="BE151" s="658"/>
      <c r="BF151" s="658"/>
      <c r="BG151" s="658"/>
      <c r="BH151" s="676"/>
      <c r="BI151" s="658"/>
      <c r="BJ151" s="658"/>
      <c r="BK151" s="658"/>
      <c r="BL151" s="658"/>
      <c r="BM151" s="658"/>
      <c r="BN151" s="658"/>
      <c r="BO151" s="675"/>
    </row>
    <row r="152" spans="1:67" s="494" customFormat="1">
      <c r="A152" s="44"/>
      <c r="B152" s="479"/>
      <c r="C152" s="479"/>
      <c r="D152" s="479"/>
      <c r="E152" s="479"/>
      <c r="F152" s="479"/>
      <c r="G152" s="44"/>
      <c r="H152" s="44"/>
      <c r="I152" s="480"/>
      <c r="J152" s="44"/>
      <c r="K152" s="1"/>
      <c r="L152" s="44"/>
      <c r="M152" s="481"/>
      <c r="N152" s="482"/>
      <c r="O152" s="100"/>
      <c r="P152" s="483"/>
      <c r="Q152" s="482"/>
      <c r="R152" s="1"/>
      <c r="S152" s="484"/>
      <c r="T152" s="1"/>
      <c r="U152" s="484"/>
      <c r="V152" s="1"/>
      <c r="W152" s="484"/>
      <c r="X152" s="1"/>
      <c r="Y152" s="484"/>
      <c r="Z152" s="1"/>
      <c r="AA152" s="1"/>
      <c r="AB152" s="1"/>
      <c r="AC152" s="1"/>
      <c r="AD152" s="482"/>
      <c r="AE152" s="485"/>
      <c r="AF152" s="486"/>
      <c r="AG152" s="487"/>
      <c r="AH152" s="487"/>
      <c r="AI152" s="488"/>
      <c r="AJ152" s="489"/>
      <c r="AK152" s="648"/>
      <c r="AL152" s="648"/>
      <c r="AM152" s="648"/>
      <c r="AN152" s="648"/>
      <c r="AO152" s="648"/>
      <c r="AP152" s="648"/>
      <c r="AQ152" s="658"/>
      <c r="AR152" s="648"/>
      <c r="AS152" s="658"/>
      <c r="AT152" s="658"/>
      <c r="AU152" s="658"/>
      <c r="AV152" s="658"/>
      <c r="AW152" s="658"/>
      <c r="AX152" s="658"/>
      <c r="AY152" s="658"/>
      <c r="AZ152" s="658"/>
      <c r="BA152" s="658"/>
      <c r="BB152" s="658"/>
      <c r="BC152" s="668"/>
      <c r="BD152" s="658"/>
      <c r="BE152" s="658"/>
      <c r="BF152" s="658"/>
      <c r="BG152" s="658"/>
      <c r="BH152" s="676"/>
      <c r="BI152" s="658"/>
      <c r="BJ152" s="658"/>
      <c r="BK152" s="658"/>
      <c r="BL152" s="658"/>
      <c r="BM152" s="658"/>
      <c r="BN152" s="658"/>
      <c r="BO152" s="675"/>
    </row>
    <row r="153" spans="1:67" s="494" customFormat="1">
      <c r="A153" s="44"/>
      <c r="B153" s="479"/>
      <c r="C153" s="479"/>
      <c r="D153" s="479"/>
      <c r="E153" s="479"/>
      <c r="F153" s="479"/>
      <c r="G153" s="44"/>
      <c r="H153" s="44"/>
      <c r="I153" s="480"/>
      <c r="J153" s="44"/>
      <c r="K153" s="1"/>
      <c r="L153" s="44"/>
      <c r="M153" s="481"/>
      <c r="N153" s="482"/>
      <c r="O153" s="100"/>
      <c r="P153" s="483"/>
      <c r="Q153" s="482"/>
      <c r="R153" s="1"/>
      <c r="S153" s="484"/>
      <c r="T153" s="1"/>
      <c r="U153" s="484"/>
      <c r="V153" s="1"/>
      <c r="W153" s="484"/>
      <c r="X153" s="1"/>
      <c r="Y153" s="484"/>
      <c r="Z153" s="1"/>
      <c r="AA153" s="1"/>
      <c r="AB153" s="1"/>
      <c r="AC153" s="1"/>
      <c r="AD153" s="482"/>
      <c r="AE153" s="485"/>
      <c r="AF153" s="486"/>
      <c r="AG153" s="487"/>
      <c r="AH153" s="487"/>
      <c r="AI153" s="488"/>
      <c r="AJ153" s="489"/>
      <c r="AK153" s="648"/>
      <c r="AL153" s="648"/>
      <c r="AM153" s="648"/>
      <c r="AN153" s="648"/>
      <c r="AO153" s="648"/>
      <c r="AP153" s="648"/>
      <c r="AQ153" s="658"/>
      <c r="AR153" s="648"/>
      <c r="AS153" s="658"/>
      <c r="AT153" s="658"/>
      <c r="AU153" s="658"/>
      <c r="AV153" s="658"/>
      <c r="AW153" s="658"/>
      <c r="AX153" s="658"/>
      <c r="AY153" s="658"/>
      <c r="AZ153" s="658"/>
      <c r="BA153" s="658"/>
      <c r="BB153" s="658"/>
      <c r="BC153" s="668"/>
      <c r="BD153" s="658"/>
      <c r="BE153" s="658"/>
      <c r="BF153" s="658"/>
      <c r="BG153" s="658"/>
      <c r="BH153" s="676"/>
      <c r="BI153" s="658"/>
      <c r="BJ153" s="658"/>
      <c r="BK153" s="658"/>
      <c r="BL153" s="658"/>
      <c r="BM153" s="658"/>
      <c r="BN153" s="658"/>
      <c r="BO153" s="675"/>
    </row>
    <row r="154" spans="1:67" s="494" customFormat="1">
      <c r="A154" s="44"/>
      <c r="B154" s="479"/>
      <c r="C154" s="479"/>
      <c r="D154" s="479"/>
      <c r="E154" s="479"/>
      <c r="F154" s="479"/>
      <c r="G154" s="44"/>
      <c r="H154" s="44"/>
      <c r="I154" s="480"/>
      <c r="J154" s="44"/>
      <c r="K154" s="1"/>
      <c r="L154" s="44"/>
      <c r="M154" s="481"/>
      <c r="N154" s="482"/>
      <c r="O154" s="100"/>
      <c r="P154" s="483"/>
      <c r="Q154" s="482"/>
      <c r="R154" s="1"/>
      <c r="S154" s="484"/>
      <c r="T154" s="1"/>
      <c r="U154" s="484"/>
      <c r="V154" s="1"/>
      <c r="W154" s="484"/>
      <c r="X154" s="1"/>
      <c r="Y154" s="484"/>
      <c r="Z154" s="1"/>
      <c r="AA154" s="1"/>
      <c r="AB154" s="1"/>
      <c r="AC154" s="1"/>
      <c r="AD154" s="482"/>
      <c r="AE154" s="485"/>
      <c r="AF154" s="486"/>
      <c r="AG154" s="487"/>
      <c r="AH154" s="487"/>
      <c r="AI154" s="488"/>
      <c r="AJ154" s="489"/>
      <c r="AK154" s="648"/>
      <c r="AL154" s="648"/>
      <c r="AM154" s="648"/>
      <c r="AN154" s="648"/>
      <c r="AO154" s="648"/>
      <c r="AP154" s="648"/>
      <c r="AQ154" s="658"/>
      <c r="AR154" s="648"/>
      <c r="AS154" s="658"/>
      <c r="AT154" s="658"/>
      <c r="AU154" s="658"/>
      <c r="AV154" s="658"/>
      <c r="AW154" s="658"/>
      <c r="AX154" s="658"/>
      <c r="AY154" s="658"/>
      <c r="AZ154" s="658"/>
      <c r="BA154" s="658"/>
      <c r="BB154" s="658"/>
      <c r="BC154" s="668"/>
      <c r="BD154" s="658"/>
      <c r="BE154" s="658"/>
      <c r="BF154" s="658"/>
      <c r="BG154" s="658"/>
      <c r="BH154" s="676"/>
      <c r="BI154" s="658"/>
      <c r="BJ154" s="658"/>
      <c r="BK154" s="658"/>
      <c r="BL154" s="658"/>
      <c r="BM154" s="658"/>
      <c r="BN154" s="658"/>
      <c r="BO154" s="675"/>
    </row>
    <row r="155" spans="1:67" s="494" customFormat="1">
      <c r="A155" s="44"/>
      <c r="B155" s="479"/>
      <c r="C155" s="479"/>
      <c r="D155" s="479"/>
      <c r="E155" s="479"/>
      <c r="F155" s="479"/>
      <c r="G155" s="44"/>
      <c r="H155" s="44"/>
      <c r="I155" s="480"/>
      <c r="J155" s="44"/>
      <c r="K155" s="1"/>
      <c r="L155" s="44"/>
      <c r="M155" s="481"/>
      <c r="N155" s="482"/>
      <c r="O155" s="100"/>
      <c r="P155" s="483"/>
      <c r="Q155" s="482"/>
      <c r="R155" s="1"/>
      <c r="S155" s="484"/>
      <c r="T155" s="1"/>
      <c r="U155" s="484"/>
      <c r="V155" s="1"/>
      <c r="W155" s="484"/>
      <c r="X155" s="1"/>
      <c r="Y155" s="484"/>
      <c r="Z155" s="1"/>
      <c r="AA155" s="1"/>
      <c r="AB155" s="1"/>
      <c r="AC155" s="1"/>
      <c r="AD155" s="482"/>
      <c r="AE155" s="485"/>
      <c r="AF155" s="486"/>
      <c r="AG155" s="487"/>
      <c r="AH155" s="487"/>
      <c r="AI155" s="488"/>
      <c r="AJ155" s="489"/>
      <c r="AK155" s="648"/>
      <c r="AL155" s="648"/>
      <c r="AM155" s="648"/>
      <c r="AN155" s="648"/>
      <c r="AO155" s="648"/>
      <c r="AP155" s="648"/>
      <c r="AQ155" s="658"/>
      <c r="AR155" s="648"/>
      <c r="AS155" s="658"/>
      <c r="AT155" s="658"/>
      <c r="AU155" s="658"/>
      <c r="AV155" s="658"/>
      <c r="AW155" s="658"/>
      <c r="AX155" s="658"/>
      <c r="AY155" s="658"/>
      <c r="AZ155" s="658"/>
      <c r="BA155" s="658"/>
      <c r="BB155" s="658"/>
      <c r="BC155" s="668"/>
      <c r="BD155" s="658"/>
      <c r="BE155" s="658"/>
      <c r="BF155" s="658"/>
      <c r="BG155" s="658"/>
      <c r="BH155" s="676"/>
      <c r="BI155" s="658"/>
      <c r="BJ155" s="658"/>
      <c r="BK155" s="658"/>
      <c r="BL155" s="658"/>
      <c r="BM155" s="658"/>
      <c r="BN155" s="658"/>
      <c r="BO155" s="675"/>
    </row>
    <row r="156" spans="1:67" s="494" customFormat="1">
      <c r="A156" s="44"/>
      <c r="B156" s="479"/>
      <c r="C156" s="479"/>
      <c r="D156" s="479"/>
      <c r="E156" s="479"/>
      <c r="F156" s="479"/>
      <c r="G156" s="44"/>
      <c r="H156" s="44"/>
      <c r="I156" s="480"/>
      <c r="J156" s="44"/>
      <c r="K156" s="1"/>
      <c r="L156" s="44"/>
      <c r="M156" s="481"/>
      <c r="N156" s="482"/>
      <c r="O156" s="100"/>
      <c r="P156" s="483"/>
      <c r="Q156" s="482"/>
      <c r="R156" s="1"/>
      <c r="S156" s="484"/>
      <c r="T156" s="1"/>
      <c r="U156" s="484"/>
      <c r="V156" s="1"/>
      <c r="W156" s="484"/>
      <c r="X156" s="1"/>
      <c r="Y156" s="484"/>
      <c r="Z156" s="1"/>
      <c r="AA156" s="1"/>
      <c r="AB156" s="1"/>
      <c r="AC156" s="1"/>
      <c r="AD156" s="482"/>
      <c r="AE156" s="485"/>
      <c r="AF156" s="486"/>
      <c r="AG156" s="487"/>
      <c r="AH156" s="487"/>
      <c r="AI156" s="488"/>
      <c r="AJ156" s="489"/>
      <c r="AK156" s="648"/>
      <c r="AL156" s="648"/>
      <c r="AM156" s="648"/>
      <c r="AN156" s="648"/>
      <c r="AO156" s="648"/>
      <c r="AP156" s="648"/>
      <c r="AQ156" s="658"/>
      <c r="AR156" s="648"/>
      <c r="AS156" s="658"/>
      <c r="AT156" s="658"/>
      <c r="AU156" s="658"/>
      <c r="AV156" s="658"/>
      <c r="AW156" s="658"/>
      <c r="AX156" s="658"/>
      <c r="AY156" s="658"/>
      <c r="AZ156" s="658"/>
      <c r="BA156" s="658"/>
      <c r="BB156" s="658"/>
      <c r="BC156" s="668"/>
      <c r="BD156" s="658"/>
      <c r="BE156" s="658"/>
      <c r="BF156" s="658"/>
      <c r="BG156" s="658"/>
      <c r="BH156" s="676"/>
      <c r="BI156" s="658"/>
      <c r="BJ156" s="658"/>
      <c r="BK156" s="658"/>
      <c r="BL156" s="658"/>
      <c r="BM156" s="658"/>
      <c r="BN156" s="658"/>
      <c r="BO156" s="675"/>
    </row>
    <row r="157" spans="1:67" s="494" customFormat="1">
      <c r="A157" s="44"/>
      <c r="B157" s="479"/>
      <c r="C157" s="479"/>
      <c r="D157" s="479"/>
      <c r="E157" s="479"/>
      <c r="F157" s="479"/>
      <c r="G157" s="44"/>
      <c r="H157" s="44"/>
      <c r="I157" s="480"/>
      <c r="J157" s="44"/>
      <c r="K157" s="1"/>
      <c r="L157" s="44"/>
      <c r="M157" s="481"/>
      <c r="N157" s="482"/>
      <c r="O157" s="100"/>
      <c r="P157" s="483"/>
      <c r="Q157" s="482"/>
      <c r="R157" s="1"/>
      <c r="S157" s="484"/>
      <c r="T157" s="1"/>
      <c r="U157" s="484"/>
      <c r="V157" s="1"/>
      <c r="W157" s="484"/>
      <c r="X157" s="1"/>
      <c r="Y157" s="484"/>
      <c r="Z157" s="1"/>
      <c r="AA157" s="1"/>
      <c r="AB157" s="1"/>
      <c r="AC157" s="1"/>
      <c r="AD157" s="482"/>
      <c r="AE157" s="485"/>
      <c r="AF157" s="486"/>
      <c r="AG157" s="487"/>
      <c r="AH157" s="487"/>
      <c r="AI157" s="488"/>
      <c r="AJ157" s="489"/>
      <c r="AK157" s="648"/>
      <c r="AL157" s="648"/>
      <c r="AM157" s="648"/>
      <c r="AN157" s="648"/>
      <c r="AO157" s="648"/>
      <c r="AP157" s="648"/>
      <c r="AQ157" s="658"/>
      <c r="AR157" s="648"/>
      <c r="AS157" s="658"/>
      <c r="AT157" s="658"/>
      <c r="AU157" s="658"/>
      <c r="AV157" s="658"/>
      <c r="AW157" s="658"/>
      <c r="AX157" s="658"/>
      <c r="AY157" s="658"/>
      <c r="AZ157" s="658"/>
      <c r="BA157" s="658"/>
      <c r="BB157" s="658"/>
      <c r="BC157" s="668"/>
      <c r="BD157" s="658"/>
      <c r="BE157" s="658"/>
      <c r="BF157" s="658"/>
      <c r="BG157" s="658"/>
      <c r="BH157" s="676"/>
      <c r="BI157" s="658"/>
      <c r="BJ157" s="658"/>
      <c r="BK157" s="658"/>
      <c r="BL157" s="658"/>
      <c r="BM157" s="658"/>
      <c r="BN157" s="658"/>
      <c r="BO157" s="675"/>
    </row>
    <row r="158" spans="1:67" s="494" customFormat="1">
      <c r="A158" s="44"/>
      <c r="B158" s="479"/>
      <c r="C158" s="479"/>
      <c r="D158" s="479"/>
      <c r="E158" s="479"/>
      <c r="F158" s="479"/>
      <c r="G158" s="44"/>
      <c r="H158" s="44"/>
      <c r="I158" s="480"/>
      <c r="J158" s="44"/>
      <c r="K158" s="1"/>
      <c r="L158" s="44"/>
      <c r="M158" s="481"/>
      <c r="N158" s="482"/>
      <c r="O158" s="100"/>
      <c r="P158" s="483"/>
      <c r="Q158" s="482"/>
      <c r="R158" s="1"/>
      <c r="S158" s="484"/>
      <c r="T158" s="1"/>
      <c r="U158" s="484"/>
      <c r="V158" s="1"/>
      <c r="W158" s="484"/>
      <c r="X158" s="1"/>
      <c r="Y158" s="484"/>
      <c r="Z158" s="1"/>
      <c r="AA158" s="1"/>
      <c r="AB158" s="1"/>
      <c r="AC158" s="1"/>
      <c r="AD158" s="482"/>
      <c r="AE158" s="485"/>
      <c r="AF158" s="486"/>
      <c r="AG158" s="487"/>
      <c r="AH158" s="487"/>
      <c r="AI158" s="488"/>
      <c r="AJ158" s="489"/>
      <c r="AK158" s="648"/>
      <c r="AL158" s="648"/>
      <c r="AM158" s="648"/>
      <c r="AN158" s="648"/>
      <c r="AO158" s="648"/>
      <c r="AP158" s="648"/>
      <c r="AQ158" s="658"/>
      <c r="AR158" s="648"/>
      <c r="AS158" s="658"/>
      <c r="AT158" s="658"/>
      <c r="AU158" s="658"/>
      <c r="AV158" s="658"/>
      <c r="AW158" s="658"/>
      <c r="AX158" s="658"/>
      <c r="AY158" s="658"/>
      <c r="AZ158" s="658"/>
      <c r="BA158" s="658"/>
      <c r="BB158" s="658"/>
      <c r="BC158" s="668"/>
      <c r="BD158" s="658"/>
      <c r="BE158" s="658"/>
      <c r="BF158" s="658"/>
      <c r="BG158" s="658"/>
      <c r="BH158" s="676"/>
      <c r="BI158" s="658"/>
      <c r="BJ158" s="658"/>
      <c r="BK158" s="658"/>
      <c r="BL158" s="658"/>
      <c r="BM158" s="658"/>
      <c r="BN158" s="658"/>
      <c r="BO158" s="675"/>
    </row>
    <row r="159" spans="1:67" s="494" customFormat="1">
      <c r="A159" s="44"/>
      <c r="B159" s="479"/>
      <c r="C159" s="479"/>
      <c r="D159" s="479"/>
      <c r="E159" s="479"/>
      <c r="F159" s="479"/>
      <c r="G159" s="44"/>
      <c r="H159" s="44"/>
      <c r="I159" s="480"/>
      <c r="J159" s="44"/>
      <c r="K159" s="1"/>
      <c r="L159" s="44"/>
      <c r="M159" s="481"/>
      <c r="N159" s="482"/>
      <c r="O159" s="100"/>
      <c r="P159" s="483"/>
      <c r="Q159" s="482"/>
      <c r="R159" s="1"/>
      <c r="S159" s="484"/>
      <c r="T159" s="1"/>
      <c r="U159" s="484"/>
      <c r="V159" s="1"/>
      <c r="W159" s="484"/>
      <c r="X159" s="1"/>
      <c r="Y159" s="484"/>
      <c r="Z159" s="1"/>
      <c r="AA159" s="1"/>
      <c r="AB159" s="1"/>
      <c r="AC159" s="1"/>
      <c r="AD159" s="482"/>
      <c r="AE159" s="485"/>
      <c r="AF159" s="486"/>
      <c r="AG159" s="487"/>
      <c r="AH159" s="487"/>
      <c r="AI159" s="488"/>
      <c r="AJ159" s="489"/>
      <c r="AK159" s="648"/>
      <c r="AL159" s="648"/>
      <c r="AM159" s="648"/>
      <c r="AN159" s="648"/>
      <c r="AO159" s="648"/>
      <c r="AP159" s="648"/>
      <c r="AQ159" s="658"/>
      <c r="AR159" s="648"/>
      <c r="AS159" s="658"/>
      <c r="AT159" s="658"/>
      <c r="AU159" s="658"/>
      <c r="AV159" s="658"/>
      <c r="AW159" s="658"/>
      <c r="AX159" s="658"/>
      <c r="AY159" s="658"/>
      <c r="AZ159" s="658"/>
      <c r="BA159" s="658"/>
      <c r="BB159" s="658"/>
      <c r="BC159" s="668"/>
      <c r="BD159" s="658"/>
      <c r="BE159" s="658"/>
      <c r="BF159" s="658"/>
      <c r="BG159" s="658"/>
      <c r="BH159" s="676"/>
      <c r="BI159" s="658"/>
      <c r="BJ159" s="658"/>
      <c r="BK159" s="658"/>
      <c r="BL159" s="658"/>
      <c r="BM159" s="658"/>
      <c r="BN159" s="658"/>
      <c r="BO159" s="675"/>
    </row>
    <row r="160" spans="1:67" s="494" customFormat="1">
      <c r="A160" s="44"/>
      <c r="B160" s="479"/>
      <c r="C160" s="479"/>
      <c r="D160" s="479"/>
      <c r="E160" s="479"/>
      <c r="F160" s="479"/>
      <c r="G160" s="44"/>
      <c r="H160" s="44"/>
      <c r="I160" s="480"/>
      <c r="J160" s="44"/>
      <c r="K160" s="1"/>
      <c r="L160" s="44"/>
      <c r="M160" s="481"/>
      <c r="N160" s="482"/>
      <c r="O160" s="100"/>
      <c r="P160" s="483"/>
      <c r="Q160" s="482"/>
      <c r="R160" s="1"/>
      <c r="S160" s="484"/>
      <c r="T160" s="1"/>
      <c r="U160" s="484"/>
      <c r="V160" s="1"/>
      <c r="W160" s="484"/>
      <c r="X160" s="1"/>
      <c r="Y160" s="484"/>
      <c r="Z160" s="1"/>
      <c r="AA160" s="1"/>
      <c r="AB160" s="1"/>
      <c r="AC160" s="1"/>
      <c r="AD160" s="482"/>
      <c r="AE160" s="485"/>
      <c r="AF160" s="486"/>
      <c r="AG160" s="487"/>
      <c r="AH160" s="487"/>
      <c r="AI160" s="488"/>
      <c r="AJ160" s="489"/>
      <c r="AK160" s="648"/>
      <c r="AL160" s="648"/>
      <c r="AM160" s="648"/>
      <c r="AN160" s="648"/>
      <c r="AO160" s="648"/>
      <c r="AP160" s="648"/>
      <c r="AQ160" s="658"/>
      <c r="AR160" s="648"/>
      <c r="AS160" s="658"/>
      <c r="AT160" s="658"/>
      <c r="AU160" s="658"/>
      <c r="AV160" s="658"/>
      <c r="AW160" s="658"/>
      <c r="AX160" s="658"/>
      <c r="AY160" s="658"/>
      <c r="AZ160" s="658"/>
      <c r="BA160" s="658"/>
      <c r="BB160" s="658"/>
      <c r="BC160" s="668"/>
      <c r="BD160" s="658"/>
      <c r="BE160" s="658"/>
      <c r="BF160" s="658"/>
      <c r="BG160" s="658"/>
      <c r="BH160" s="676"/>
      <c r="BI160" s="658"/>
      <c r="BJ160" s="658"/>
      <c r="BK160" s="658"/>
      <c r="BL160" s="658"/>
      <c r="BM160" s="658"/>
      <c r="BN160" s="658"/>
      <c r="BO160" s="675"/>
    </row>
    <row r="161" spans="1:67" s="494" customFormat="1">
      <c r="A161" s="44"/>
      <c r="B161" s="479"/>
      <c r="C161" s="479"/>
      <c r="D161" s="479"/>
      <c r="E161" s="479"/>
      <c r="F161" s="479"/>
      <c r="G161" s="44"/>
      <c r="H161" s="44"/>
      <c r="I161" s="480"/>
      <c r="J161" s="44"/>
      <c r="K161" s="1"/>
      <c r="L161" s="44"/>
      <c r="M161" s="481"/>
      <c r="N161" s="482"/>
      <c r="O161" s="100"/>
      <c r="P161" s="483"/>
      <c r="Q161" s="482"/>
      <c r="R161" s="1"/>
      <c r="S161" s="484"/>
      <c r="T161" s="1"/>
      <c r="U161" s="484"/>
      <c r="V161" s="1"/>
      <c r="W161" s="484"/>
      <c r="X161" s="1"/>
      <c r="Y161" s="484"/>
      <c r="Z161" s="1"/>
      <c r="AA161" s="1"/>
      <c r="AB161" s="1"/>
      <c r="AC161" s="1"/>
      <c r="AD161" s="482"/>
      <c r="AE161" s="485"/>
      <c r="AF161" s="486"/>
      <c r="AG161" s="487"/>
      <c r="AH161" s="487"/>
      <c r="AI161" s="488"/>
      <c r="AJ161" s="489"/>
      <c r="AK161" s="648"/>
      <c r="AL161" s="648"/>
      <c r="AM161" s="648"/>
      <c r="AN161" s="648"/>
      <c r="AO161" s="648"/>
      <c r="AP161" s="648"/>
      <c r="AQ161" s="658"/>
      <c r="AR161" s="648"/>
      <c r="AS161" s="658"/>
      <c r="AT161" s="658"/>
      <c r="AU161" s="658"/>
      <c r="AV161" s="658"/>
      <c r="AW161" s="658"/>
      <c r="AX161" s="658"/>
      <c r="AY161" s="658"/>
      <c r="AZ161" s="658"/>
      <c r="BA161" s="658"/>
      <c r="BB161" s="658"/>
      <c r="BC161" s="668"/>
      <c r="BD161" s="658"/>
      <c r="BE161" s="658"/>
      <c r="BF161" s="658"/>
      <c r="BG161" s="658"/>
      <c r="BH161" s="676"/>
      <c r="BI161" s="658"/>
      <c r="BJ161" s="658"/>
      <c r="BK161" s="658"/>
      <c r="BL161" s="658"/>
      <c r="BM161" s="658"/>
      <c r="BN161" s="658"/>
      <c r="BO161" s="675"/>
    </row>
    <row r="162" spans="1:67" s="494" customFormat="1">
      <c r="A162" s="44"/>
      <c r="B162" s="479"/>
      <c r="C162" s="479"/>
      <c r="D162" s="479"/>
      <c r="E162" s="479"/>
      <c r="F162" s="479"/>
      <c r="G162" s="44"/>
      <c r="H162" s="44"/>
      <c r="I162" s="480"/>
      <c r="J162" s="44"/>
      <c r="K162" s="1"/>
      <c r="L162" s="44"/>
      <c r="M162" s="481"/>
      <c r="N162" s="482"/>
      <c r="O162" s="100"/>
      <c r="P162" s="483"/>
      <c r="Q162" s="482"/>
      <c r="R162" s="1"/>
      <c r="S162" s="484"/>
      <c r="T162" s="1"/>
      <c r="U162" s="484"/>
      <c r="V162" s="1"/>
      <c r="W162" s="484"/>
      <c r="X162" s="1"/>
      <c r="Y162" s="484"/>
      <c r="Z162" s="1"/>
      <c r="AA162" s="1"/>
      <c r="AB162" s="1"/>
      <c r="AC162" s="1"/>
      <c r="AD162" s="482"/>
      <c r="AE162" s="485"/>
      <c r="AF162" s="486"/>
      <c r="AG162" s="487"/>
      <c r="AH162" s="487"/>
      <c r="AI162" s="488"/>
      <c r="AJ162" s="489"/>
      <c r="AK162" s="648"/>
      <c r="AL162" s="648"/>
      <c r="AM162" s="648"/>
      <c r="AN162" s="648"/>
      <c r="AO162" s="648"/>
      <c r="AP162" s="648"/>
      <c r="AQ162" s="658"/>
      <c r="AR162" s="648"/>
      <c r="AS162" s="658"/>
      <c r="AT162" s="658"/>
      <c r="AU162" s="658"/>
      <c r="AV162" s="658"/>
      <c r="AW162" s="658"/>
      <c r="AX162" s="658"/>
      <c r="AY162" s="658"/>
      <c r="AZ162" s="658"/>
      <c r="BA162" s="658"/>
      <c r="BB162" s="658"/>
      <c r="BC162" s="668"/>
      <c r="BD162" s="658"/>
      <c r="BE162" s="658"/>
      <c r="BF162" s="658"/>
      <c r="BG162" s="658"/>
      <c r="BH162" s="676"/>
      <c r="BI162" s="658"/>
      <c r="BJ162" s="658"/>
      <c r="BK162" s="658"/>
      <c r="BL162" s="658"/>
      <c r="BM162" s="658"/>
      <c r="BN162" s="658"/>
      <c r="BO162" s="675"/>
    </row>
    <row r="163" spans="1:67" s="494" customFormat="1">
      <c r="A163" s="44"/>
      <c r="B163" s="479"/>
      <c r="C163" s="479"/>
      <c r="D163" s="479"/>
      <c r="E163" s="479"/>
      <c r="F163" s="479"/>
      <c r="G163" s="44"/>
      <c r="H163" s="44"/>
      <c r="I163" s="480"/>
      <c r="J163" s="44"/>
      <c r="K163" s="1"/>
      <c r="L163" s="44"/>
      <c r="M163" s="481"/>
      <c r="N163" s="482"/>
      <c r="O163" s="100"/>
      <c r="P163" s="483"/>
      <c r="Q163" s="482"/>
      <c r="R163" s="1"/>
      <c r="S163" s="484"/>
      <c r="T163" s="1"/>
      <c r="U163" s="484"/>
      <c r="V163" s="1"/>
      <c r="W163" s="484"/>
      <c r="X163" s="1"/>
      <c r="Y163" s="484"/>
      <c r="Z163" s="1"/>
      <c r="AA163" s="1"/>
      <c r="AB163" s="1"/>
      <c r="AC163" s="1"/>
      <c r="AD163" s="482"/>
      <c r="AE163" s="485"/>
      <c r="AF163" s="486"/>
      <c r="AG163" s="487"/>
      <c r="AH163" s="487"/>
      <c r="AI163" s="488"/>
      <c r="AJ163" s="489"/>
      <c r="AK163" s="648"/>
      <c r="AL163" s="648"/>
      <c r="AM163" s="648"/>
      <c r="AN163" s="648"/>
      <c r="AO163" s="648"/>
      <c r="AP163" s="648"/>
      <c r="AQ163" s="658"/>
      <c r="AR163" s="648"/>
      <c r="AS163" s="658"/>
      <c r="AT163" s="658"/>
      <c r="AU163" s="658"/>
      <c r="AV163" s="658"/>
      <c r="AW163" s="658"/>
      <c r="AX163" s="658"/>
      <c r="AY163" s="658"/>
      <c r="AZ163" s="658"/>
      <c r="BA163" s="658"/>
      <c r="BB163" s="658"/>
      <c r="BC163" s="668"/>
      <c r="BD163" s="658"/>
      <c r="BE163" s="658"/>
      <c r="BF163" s="658"/>
      <c r="BG163" s="658"/>
      <c r="BH163" s="676"/>
      <c r="BI163" s="658"/>
      <c r="BJ163" s="658"/>
      <c r="BK163" s="658"/>
      <c r="BL163" s="658"/>
      <c r="BM163" s="658"/>
      <c r="BN163" s="658"/>
      <c r="BO163" s="675"/>
    </row>
    <row r="164" spans="1:67" s="494" customFormat="1">
      <c r="A164" s="44"/>
      <c r="B164" s="479"/>
      <c r="C164" s="479"/>
      <c r="D164" s="479"/>
      <c r="E164" s="479"/>
      <c r="F164" s="479"/>
      <c r="G164" s="44"/>
      <c r="H164" s="44"/>
      <c r="I164" s="480"/>
      <c r="J164" s="44"/>
      <c r="K164" s="1"/>
      <c r="L164" s="44"/>
      <c r="M164" s="481"/>
      <c r="N164" s="482"/>
      <c r="O164" s="100"/>
      <c r="P164" s="483"/>
      <c r="Q164" s="482"/>
      <c r="R164" s="1"/>
      <c r="S164" s="484"/>
      <c r="T164" s="1"/>
      <c r="U164" s="484"/>
      <c r="V164" s="1"/>
      <c r="W164" s="484"/>
      <c r="X164" s="1"/>
      <c r="Y164" s="484"/>
      <c r="Z164" s="1"/>
      <c r="AA164" s="1"/>
      <c r="AB164" s="1"/>
      <c r="AC164" s="1"/>
      <c r="AD164" s="482"/>
      <c r="AE164" s="485"/>
      <c r="AF164" s="486"/>
      <c r="AG164" s="487"/>
      <c r="AH164" s="487"/>
      <c r="AI164" s="488"/>
      <c r="AJ164" s="489"/>
      <c r="AK164" s="648"/>
      <c r="AL164" s="648"/>
      <c r="AM164" s="648"/>
      <c r="AN164" s="648"/>
      <c r="AO164" s="648"/>
      <c r="AP164" s="648"/>
      <c r="AQ164" s="658"/>
      <c r="AR164" s="648"/>
      <c r="AS164" s="658"/>
      <c r="AT164" s="658"/>
      <c r="AU164" s="658"/>
      <c r="AV164" s="658"/>
      <c r="AW164" s="658"/>
      <c r="AX164" s="658"/>
      <c r="AY164" s="658"/>
      <c r="AZ164" s="658"/>
      <c r="BA164" s="658"/>
      <c r="BB164" s="658"/>
      <c r="BC164" s="668"/>
      <c r="BD164" s="658"/>
      <c r="BE164" s="658"/>
      <c r="BF164" s="658"/>
      <c r="BG164" s="658"/>
      <c r="BH164" s="676"/>
      <c r="BI164" s="658"/>
      <c r="BJ164" s="658"/>
      <c r="BK164" s="658"/>
      <c r="BL164" s="658"/>
      <c r="BM164" s="658"/>
      <c r="BN164" s="658"/>
      <c r="BO164" s="675"/>
    </row>
    <row r="165" spans="1:67" s="494" customFormat="1">
      <c r="A165" s="44"/>
      <c r="B165" s="479"/>
      <c r="C165" s="479"/>
      <c r="D165" s="479"/>
      <c r="E165" s="479"/>
      <c r="F165" s="479"/>
      <c r="G165" s="44"/>
      <c r="H165" s="44"/>
      <c r="I165" s="480"/>
      <c r="J165" s="44"/>
      <c r="K165" s="1"/>
      <c r="L165" s="44"/>
      <c r="M165" s="481"/>
      <c r="N165" s="482"/>
      <c r="O165" s="100"/>
      <c r="P165" s="483"/>
      <c r="Q165" s="482"/>
      <c r="R165" s="1"/>
      <c r="S165" s="484"/>
      <c r="T165" s="1"/>
      <c r="U165" s="484"/>
      <c r="V165" s="1"/>
      <c r="W165" s="484"/>
      <c r="X165" s="1"/>
      <c r="Y165" s="484"/>
      <c r="Z165" s="1"/>
      <c r="AA165" s="1"/>
      <c r="AB165" s="1"/>
      <c r="AC165" s="1"/>
      <c r="AD165" s="482"/>
      <c r="AE165" s="485"/>
      <c r="AF165" s="486"/>
      <c r="AG165" s="487"/>
      <c r="AH165" s="487"/>
      <c r="AI165" s="488"/>
      <c r="AJ165" s="489"/>
      <c r="AK165" s="648"/>
      <c r="AL165" s="648"/>
      <c r="AM165" s="648"/>
      <c r="AN165" s="648"/>
      <c r="AO165" s="648"/>
      <c r="AP165" s="648"/>
      <c r="AQ165" s="658"/>
      <c r="AR165" s="648"/>
      <c r="AS165" s="658"/>
      <c r="AT165" s="658"/>
      <c r="AU165" s="658"/>
      <c r="AV165" s="658"/>
      <c r="AW165" s="658"/>
      <c r="AX165" s="658"/>
      <c r="AY165" s="658"/>
      <c r="AZ165" s="658"/>
      <c r="BA165" s="658"/>
      <c r="BB165" s="658"/>
      <c r="BC165" s="668"/>
      <c r="BD165" s="658"/>
      <c r="BE165" s="658"/>
      <c r="BF165" s="658"/>
      <c r="BG165" s="658"/>
      <c r="BH165" s="676"/>
      <c r="BI165" s="658"/>
      <c r="BJ165" s="658"/>
      <c r="BK165" s="658"/>
      <c r="BL165" s="658"/>
      <c r="BM165" s="658"/>
      <c r="BN165" s="658"/>
      <c r="BO165" s="675"/>
    </row>
    <row r="166" spans="1:67" s="494" customFormat="1">
      <c r="A166" s="44"/>
      <c r="B166" s="479"/>
      <c r="C166" s="479"/>
      <c r="D166" s="479"/>
      <c r="E166" s="479"/>
      <c r="F166" s="479"/>
      <c r="G166" s="44"/>
      <c r="H166" s="44"/>
      <c r="I166" s="480"/>
      <c r="J166" s="44"/>
      <c r="K166" s="1"/>
      <c r="L166" s="44"/>
      <c r="M166" s="481"/>
      <c r="N166" s="482"/>
      <c r="O166" s="100"/>
      <c r="P166" s="483"/>
      <c r="Q166" s="482"/>
      <c r="R166" s="1"/>
      <c r="S166" s="484"/>
      <c r="T166" s="1"/>
      <c r="U166" s="484"/>
      <c r="V166" s="1"/>
      <c r="W166" s="484"/>
      <c r="X166" s="1"/>
      <c r="Y166" s="484"/>
      <c r="Z166" s="1"/>
      <c r="AA166" s="1"/>
      <c r="AB166" s="1"/>
      <c r="AC166" s="1"/>
      <c r="AD166" s="482"/>
      <c r="AE166" s="485"/>
      <c r="AF166" s="486"/>
      <c r="AG166" s="487"/>
      <c r="AH166" s="487"/>
      <c r="AI166" s="488"/>
      <c r="AJ166" s="489"/>
      <c r="AK166" s="648"/>
      <c r="AL166" s="648"/>
      <c r="AM166" s="648"/>
      <c r="AN166" s="648"/>
      <c r="AO166" s="648"/>
      <c r="AP166" s="648"/>
      <c r="AQ166" s="658"/>
      <c r="AR166" s="648"/>
      <c r="AS166" s="658"/>
      <c r="AT166" s="658"/>
      <c r="AU166" s="658"/>
      <c r="AV166" s="658"/>
      <c r="AW166" s="658"/>
      <c r="AX166" s="658"/>
      <c r="AY166" s="658"/>
      <c r="AZ166" s="658"/>
      <c r="BA166" s="658"/>
      <c r="BB166" s="658"/>
      <c r="BC166" s="668"/>
      <c r="BD166" s="658"/>
      <c r="BE166" s="658"/>
      <c r="BF166" s="658"/>
      <c r="BG166" s="658"/>
      <c r="BH166" s="676"/>
      <c r="BI166" s="658"/>
      <c r="BJ166" s="658"/>
      <c r="BK166" s="658"/>
      <c r="BL166" s="658"/>
      <c r="BM166" s="658"/>
      <c r="BN166" s="658"/>
      <c r="BO166" s="675"/>
    </row>
    <row r="167" spans="1:67" s="494" customFormat="1">
      <c r="A167" s="44"/>
      <c r="B167" s="479"/>
      <c r="C167" s="479"/>
      <c r="D167" s="479"/>
      <c r="E167" s="479"/>
      <c r="F167" s="479"/>
      <c r="G167" s="44"/>
      <c r="H167" s="44"/>
      <c r="I167" s="480"/>
      <c r="J167" s="44"/>
      <c r="K167" s="1"/>
      <c r="L167" s="44"/>
      <c r="M167" s="481"/>
      <c r="N167" s="482"/>
      <c r="O167" s="100"/>
      <c r="P167" s="483"/>
      <c r="Q167" s="482"/>
      <c r="R167" s="1"/>
      <c r="S167" s="484"/>
      <c r="T167" s="1"/>
      <c r="U167" s="484"/>
      <c r="V167" s="1"/>
      <c r="W167" s="484"/>
      <c r="X167" s="1"/>
      <c r="Y167" s="484"/>
      <c r="Z167" s="1"/>
      <c r="AA167" s="1"/>
      <c r="AB167" s="1"/>
      <c r="AC167" s="1"/>
      <c r="AD167" s="482"/>
      <c r="AE167" s="485"/>
      <c r="AF167" s="486"/>
      <c r="AG167" s="487"/>
      <c r="AH167" s="487"/>
      <c r="AI167" s="488"/>
      <c r="AJ167" s="489"/>
      <c r="AK167" s="648"/>
      <c r="AL167" s="648"/>
      <c r="AM167" s="648"/>
      <c r="AN167" s="648"/>
      <c r="AO167" s="648"/>
      <c r="AP167" s="648"/>
      <c r="AQ167" s="658"/>
      <c r="AR167" s="648"/>
      <c r="AS167" s="658"/>
      <c r="AT167" s="658"/>
      <c r="AU167" s="658"/>
      <c r="AV167" s="658"/>
      <c r="AW167" s="658"/>
      <c r="AX167" s="658"/>
      <c r="AY167" s="658"/>
      <c r="AZ167" s="658"/>
      <c r="BA167" s="658"/>
      <c r="BB167" s="658"/>
      <c r="BC167" s="668"/>
      <c r="BD167" s="658"/>
      <c r="BE167" s="658"/>
      <c r="BF167" s="658"/>
      <c r="BG167" s="658"/>
      <c r="BH167" s="676"/>
      <c r="BI167" s="658"/>
      <c r="BJ167" s="658"/>
      <c r="BK167" s="658"/>
      <c r="BL167" s="658"/>
      <c r="BM167" s="658"/>
      <c r="BN167" s="658"/>
      <c r="BO167" s="675"/>
    </row>
    <row r="168" spans="1:67" s="494" customFormat="1">
      <c r="A168" s="44"/>
      <c r="B168" s="479"/>
      <c r="C168" s="479"/>
      <c r="D168" s="479"/>
      <c r="E168" s="479"/>
      <c r="F168" s="479"/>
      <c r="G168" s="44"/>
      <c r="H168" s="44"/>
      <c r="I168" s="480"/>
      <c r="J168" s="44"/>
      <c r="K168" s="1"/>
      <c r="L168" s="44"/>
      <c r="M168" s="481"/>
      <c r="N168" s="482"/>
      <c r="O168" s="100"/>
      <c r="P168" s="483"/>
      <c r="Q168" s="482"/>
      <c r="R168" s="1"/>
      <c r="S168" s="484"/>
      <c r="T168" s="1"/>
      <c r="U168" s="484"/>
      <c r="V168" s="1"/>
      <c r="W168" s="484"/>
      <c r="X168" s="1"/>
      <c r="Y168" s="484"/>
      <c r="Z168" s="1"/>
      <c r="AA168" s="1"/>
      <c r="AB168" s="1"/>
      <c r="AC168" s="1"/>
      <c r="AD168" s="482"/>
      <c r="AE168" s="485"/>
      <c r="AF168" s="486"/>
      <c r="AG168" s="487"/>
      <c r="AH168" s="487"/>
      <c r="AI168" s="488"/>
      <c r="AJ168" s="489"/>
      <c r="AK168" s="648"/>
      <c r="AL168" s="648"/>
      <c r="AM168" s="648"/>
      <c r="AN168" s="648"/>
      <c r="AO168" s="648"/>
      <c r="AP168" s="648"/>
      <c r="AQ168" s="658"/>
      <c r="AR168" s="648"/>
      <c r="AS168" s="658"/>
      <c r="AT168" s="658"/>
      <c r="AU168" s="658"/>
      <c r="AV168" s="658"/>
      <c r="AW168" s="658"/>
      <c r="AX168" s="658"/>
      <c r="AY168" s="658"/>
      <c r="AZ168" s="658"/>
      <c r="BA168" s="658"/>
      <c r="BB168" s="658"/>
      <c r="BC168" s="668"/>
      <c r="BD168" s="658"/>
      <c r="BE168" s="658"/>
      <c r="BF168" s="658"/>
      <c r="BG168" s="658"/>
      <c r="BH168" s="676"/>
      <c r="BI168" s="658"/>
      <c r="BJ168" s="658"/>
      <c r="BK168" s="658"/>
      <c r="BL168" s="658"/>
      <c r="BM168" s="658"/>
      <c r="BN168" s="658"/>
      <c r="BO168" s="675"/>
    </row>
    <row r="169" spans="1:67" s="494" customFormat="1">
      <c r="A169" s="44"/>
      <c r="B169" s="479"/>
      <c r="C169" s="479"/>
      <c r="D169" s="479"/>
      <c r="E169" s="479"/>
      <c r="F169" s="479"/>
      <c r="G169" s="44"/>
      <c r="H169" s="44"/>
      <c r="I169" s="480"/>
      <c r="J169" s="44"/>
      <c r="K169" s="1"/>
      <c r="L169" s="44"/>
      <c r="M169" s="481"/>
      <c r="N169" s="482"/>
      <c r="O169" s="100"/>
      <c r="P169" s="483"/>
      <c r="Q169" s="482"/>
      <c r="R169" s="1"/>
      <c r="S169" s="484"/>
      <c r="T169" s="1"/>
      <c r="U169" s="484"/>
      <c r="V169" s="1"/>
      <c r="W169" s="484"/>
      <c r="X169" s="1"/>
      <c r="Y169" s="484"/>
      <c r="Z169" s="1"/>
      <c r="AA169" s="1"/>
      <c r="AB169" s="1"/>
      <c r="AC169" s="1"/>
      <c r="AD169" s="482"/>
      <c r="AE169" s="485"/>
      <c r="AF169" s="486"/>
      <c r="AG169" s="487"/>
      <c r="AH169" s="487"/>
      <c r="AI169" s="488"/>
      <c r="AJ169" s="489"/>
      <c r="AK169" s="648"/>
      <c r="AL169" s="648"/>
      <c r="AM169" s="648"/>
      <c r="AN169" s="648"/>
      <c r="AO169" s="648"/>
      <c r="AP169" s="648"/>
      <c r="AQ169" s="658"/>
      <c r="AR169" s="648"/>
      <c r="AS169" s="658"/>
      <c r="AT169" s="658"/>
      <c r="AU169" s="658"/>
      <c r="AV169" s="658"/>
      <c r="AW169" s="658"/>
      <c r="AX169" s="658"/>
      <c r="AY169" s="658"/>
      <c r="AZ169" s="658"/>
      <c r="BA169" s="658"/>
      <c r="BB169" s="658"/>
      <c r="BC169" s="668"/>
      <c r="BD169" s="658"/>
      <c r="BE169" s="658"/>
      <c r="BF169" s="658"/>
      <c r="BG169" s="658"/>
      <c r="BH169" s="676"/>
      <c r="BI169" s="658"/>
      <c r="BJ169" s="658"/>
      <c r="BK169" s="658"/>
      <c r="BL169" s="658"/>
      <c r="BM169" s="658"/>
      <c r="BN169" s="658"/>
      <c r="BO169" s="675"/>
    </row>
    <row r="170" spans="1:67" s="494" customFormat="1">
      <c r="A170" s="44"/>
      <c r="B170" s="479"/>
      <c r="C170" s="479"/>
      <c r="D170" s="479"/>
      <c r="E170" s="479"/>
      <c r="F170" s="479"/>
      <c r="G170" s="44"/>
      <c r="H170" s="44"/>
      <c r="I170" s="480"/>
      <c r="J170" s="44"/>
      <c r="K170" s="1"/>
      <c r="L170" s="44"/>
      <c r="M170" s="481"/>
      <c r="N170" s="482"/>
      <c r="O170" s="100"/>
      <c r="P170" s="483"/>
      <c r="Q170" s="482"/>
      <c r="R170" s="1"/>
      <c r="S170" s="484"/>
      <c r="T170" s="1"/>
      <c r="U170" s="484"/>
      <c r="V170" s="1"/>
      <c r="W170" s="484"/>
      <c r="X170" s="1"/>
      <c r="Y170" s="484"/>
      <c r="Z170" s="1"/>
      <c r="AA170" s="1"/>
      <c r="AB170" s="1"/>
      <c r="AC170" s="1"/>
      <c r="AD170" s="482"/>
      <c r="AE170" s="485"/>
      <c r="AF170" s="486"/>
      <c r="AG170" s="487"/>
      <c r="AH170" s="487"/>
      <c r="AI170" s="488"/>
      <c r="AJ170" s="489"/>
      <c r="AK170" s="648"/>
      <c r="AL170" s="648"/>
      <c r="AM170" s="648"/>
      <c r="AN170" s="648"/>
      <c r="AO170" s="648"/>
      <c r="AP170" s="648"/>
      <c r="AQ170" s="658"/>
      <c r="AR170" s="648"/>
      <c r="AS170" s="658"/>
      <c r="AT170" s="658"/>
      <c r="AU170" s="658"/>
      <c r="AV170" s="658"/>
      <c r="AW170" s="658"/>
      <c r="AX170" s="658"/>
      <c r="AY170" s="658"/>
      <c r="AZ170" s="658"/>
      <c r="BA170" s="658"/>
      <c r="BB170" s="658"/>
      <c r="BC170" s="668"/>
      <c r="BD170" s="658"/>
      <c r="BE170" s="658"/>
      <c r="BF170" s="658"/>
      <c r="BG170" s="658"/>
      <c r="BH170" s="676"/>
      <c r="BI170" s="658"/>
      <c r="BJ170" s="658"/>
      <c r="BK170" s="658"/>
      <c r="BL170" s="658"/>
      <c r="BM170" s="658"/>
      <c r="BN170" s="658"/>
      <c r="BO170" s="675"/>
    </row>
    <row r="171" spans="1:67" s="494" customFormat="1">
      <c r="A171" s="44"/>
      <c r="B171" s="479"/>
      <c r="C171" s="479"/>
      <c r="D171" s="479"/>
      <c r="E171" s="479"/>
      <c r="F171" s="479"/>
      <c r="G171" s="44"/>
      <c r="H171" s="44"/>
      <c r="I171" s="480"/>
      <c r="J171" s="44"/>
      <c r="K171" s="1"/>
      <c r="L171" s="44"/>
      <c r="M171" s="481"/>
      <c r="N171" s="482"/>
      <c r="O171" s="100"/>
      <c r="P171" s="483"/>
      <c r="Q171" s="482"/>
      <c r="R171" s="1"/>
      <c r="S171" s="484"/>
      <c r="T171" s="1"/>
      <c r="U171" s="484"/>
      <c r="V171" s="1"/>
      <c r="W171" s="484"/>
      <c r="X171" s="1"/>
      <c r="Y171" s="484"/>
      <c r="Z171" s="1"/>
      <c r="AA171" s="1"/>
      <c r="AB171" s="1"/>
      <c r="AC171" s="1"/>
      <c r="AD171" s="482"/>
      <c r="AE171" s="485"/>
      <c r="AF171" s="486"/>
      <c r="AG171" s="487"/>
      <c r="AH171" s="487"/>
      <c r="AI171" s="488"/>
      <c r="AJ171" s="489"/>
      <c r="AK171" s="648"/>
      <c r="AL171" s="648"/>
      <c r="AM171" s="648"/>
      <c r="AN171" s="648"/>
      <c r="AO171" s="648"/>
      <c r="AP171" s="648"/>
      <c r="AQ171" s="658"/>
      <c r="AR171" s="648"/>
      <c r="AS171" s="658"/>
      <c r="AT171" s="658"/>
      <c r="AU171" s="658"/>
      <c r="AV171" s="658"/>
      <c r="AW171" s="658"/>
      <c r="AX171" s="658"/>
      <c r="AY171" s="658"/>
      <c r="AZ171" s="658"/>
      <c r="BA171" s="658"/>
      <c r="BB171" s="658"/>
      <c r="BC171" s="668"/>
      <c r="BD171" s="658"/>
      <c r="BE171" s="658"/>
      <c r="BF171" s="658"/>
      <c r="BG171" s="658"/>
      <c r="BH171" s="676"/>
      <c r="BI171" s="658"/>
      <c r="BJ171" s="658"/>
      <c r="BK171" s="658"/>
      <c r="BL171" s="658"/>
      <c r="BM171" s="658"/>
      <c r="BN171" s="658"/>
      <c r="BO171" s="675"/>
    </row>
    <row r="172" spans="1:67" s="494" customFormat="1">
      <c r="A172" s="44"/>
      <c r="B172" s="479"/>
      <c r="C172" s="479"/>
      <c r="D172" s="479"/>
      <c r="E172" s="479"/>
      <c r="F172" s="479"/>
      <c r="G172" s="44"/>
      <c r="H172" s="44"/>
      <c r="I172" s="480"/>
      <c r="J172" s="44"/>
      <c r="K172" s="1"/>
      <c r="L172" s="44"/>
      <c r="M172" s="481"/>
      <c r="N172" s="482"/>
      <c r="O172" s="100"/>
      <c r="P172" s="483"/>
      <c r="Q172" s="482"/>
      <c r="R172" s="1"/>
      <c r="S172" s="484"/>
      <c r="T172" s="1"/>
      <c r="U172" s="484"/>
      <c r="V172" s="1"/>
      <c r="W172" s="484"/>
      <c r="X172" s="1"/>
      <c r="Y172" s="484"/>
      <c r="Z172" s="1"/>
      <c r="AA172" s="1"/>
      <c r="AB172" s="1"/>
      <c r="AC172" s="1"/>
      <c r="AD172" s="482"/>
      <c r="AE172" s="485"/>
      <c r="AF172" s="486"/>
      <c r="AG172" s="487"/>
      <c r="AH172" s="487"/>
      <c r="AI172" s="488"/>
      <c r="AJ172" s="489"/>
      <c r="AK172" s="648"/>
      <c r="AL172" s="648"/>
      <c r="AM172" s="648"/>
      <c r="AN172" s="648"/>
      <c r="AO172" s="648"/>
      <c r="AP172" s="648"/>
      <c r="AQ172" s="658"/>
      <c r="AR172" s="648"/>
      <c r="AS172" s="658"/>
      <c r="AT172" s="658"/>
      <c r="AU172" s="658"/>
      <c r="AV172" s="658"/>
      <c r="AW172" s="658"/>
      <c r="AX172" s="658"/>
      <c r="AY172" s="658"/>
      <c r="AZ172" s="658"/>
      <c r="BA172" s="658"/>
      <c r="BB172" s="658"/>
      <c r="BC172" s="668"/>
      <c r="BD172" s="658"/>
      <c r="BE172" s="658"/>
      <c r="BF172" s="658"/>
      <c r="BG172" s="658"/>
      <c r="BH172" s="676"/>
      <c r="BI172" s="658"/>
      <c r="BJ172" s="658"/>
      <c r="BK172" s="658"/>
      <c r="BL172" s="658"/>
      <c r="BM172" s="658"/>
      <c r="BN172" s="658"/>
      <c r="BO172" s="675"/>
    </row>
    <row r="173" spans="1:67" s="494" customFormat="1">
      <c r="A173" s="44"/>
      <c r="B173" s="479"/>
      <c r="C173" s="479"/>
      <c r="D173" s="479"/>
      <c r="E173" s="479"/>
      <c r="F173" s="479"/>
      <c r="G173" s="44"/>
      <c r="H173" s="44"/>
      <c r="I173" s="480"/>
      <c r="J173" s="44"/>
      <c r="K173" s="1"/>
      <c r="L173" s="44"/>
      <c r="M173" s="481"/>
      <c r="N173" s="482"/>
      <c r="O173" s="100"/>
      <c r="P173" s="483"/>
      <c r="Q173" s="482"/>
      <c r="R173" s="1"/>
      <c r="S173" s="484"/>
      <c r="T173" s="1"/>
      <c r="U173" s="484"/>
      <c r="V173" s="1"/>
      <c r="W173" s="484"/>
      <c r="X173" s="1"/>
      <c r="Y173" s="484"/>
      <c r="Z173" s="1"/>
      <c r="AA173" s="1"/>
      <c r="AB173" s="1"/>
      <c r="AC173" s="1"/>
      <c r="AD173" s="482"/>
      <c r="AE173" s="485"/>
      <c r="AF173" s="486"/>
      <c r="AG173" s="487"/>
      <c r="AH173" s="487"/>
      <c r="AI173" s="488"/>
      <c r="AJ173" s="489"/>
      <c r="AK173" s="648"/>
      <c r="AL173" s="648"/>
      <c r="AM173" s="648"/>
      <c r="AN173" s="648"/>
      <c r="AO173" s="648"/>
      <c r="AP173" s="648"/>
      <c r="AQ173" s="658"/>
      <c r="AR173" s="648"/>
      <c r="AS173" s="658"/>
      <c r="AT173" s="658"/>
      <c r="AU173" s="658"/>
      <c r="AV173" s="658"/>
      <c r="AW173" s="658"/>
      <c r="AX173" s="658"/>
      <c r="AY173" s="658"/>
      <c r="AZ173" s="658"/>
      <c r="BA173" s="658"/>
      <c r="BB173" s="658"/>
      <c r="BC173" s="668"/>
      <c r="BD173" s="658"/>
      <c r="BE173" s="658"/>
      <c r="BF173" s="658"/>
      <c r="BG173" s="658"/>
      <c r="BH173" s="676"/>
      <c r="BI173" s="658"/>
      <c r="BJ173" s="658"/>
      <c r="BK173" s="658"/>
      <c r="BL173" s="658"/>
      <c r="BM173" s="658"/>
      <c r="BN173" s="658"/>
      <c r="BO173" s="675"/>
    </row>
    <row r="174" spans="1:67" s="494" customFormat="1">
      <c r="A174" s="44"/>
      <c r="B174" s="479"/>
      <c r="C174" s="479"/>
      <c r="D174" s="479"/>
      <c r="E174" s="479"/>
      <c r="F174" s="479"/>
      <c r="G174" s="44"/>
      <c r="H174" s="44"/>
      <c r="I174" s="480"/>
      <c r="J174" s="44"/>
      <c r="K174" s="1"/>
      <c r="L174" s="44"/>
      <c r="M174" s="481"/>
      <c r="N174" s="482"/>
      <c r="O174" s="100"/>
      <c r="P174" s="483"/>
      <c r="Q174" s="482"/>
      <c r="R174" s="1"/>
      <c r="S174" s="484"/>
      <c r="T174" s="1"/>
      <c r="U174" s="484"/>
      <c r="V174" s="1"/>
      <c r="W174" s="484"/>
      <c r="X174" s="1"/>
      <c r="Y174" s="484"/>
      <c r="Z174" s="1"/>
      <c r="AA174" s="1"/>
      <c r="AB174" s="1"/>
      <c r="AC174" s="1"/>
      <c r="AD174" s="482"/>
      <c r="AE174" s="485"/>
      <c r="AF174" s="486"/>
      <c r="AG174" s="487"/>
      <c r="AH174" s="487"/>
      <c r="AI174" s="488"/>
      <c r="AJ174" s="489"/>
      <c r="AK174" s="648"/>
      <c r="AL174" s="648"/>
      <c r="AM174" s="648"/>
      <c r="AN174" s="648"/>
      <c r="AO174" s="648"/>
      <c r="AP174" s="648"/>
      <c r="AQ174" s="658"/>
      <c r="AR174" s="648"/>
      <c r="AS174" s="658"/>
      <c r="AT174" s="658"/>
      <c r="AU174" s="658"/>
      <c r="AV174" s="658"/>
      <c r="AW174" s="658"/>
      <c r="AX174" s="658"/>
      <c r="AY174" s="658"/>
      <c r="AZ174" s="658"/>
      <c r="BA174" s="658"/>
      <c r="BB174" s="658"/>
      <c r="BC174" s="668"/>
      <c r="BD174" s="658"/>
      <c r="BE174" s="658"/>
      <c r="BF174" s="658"/>
      <c r="BG174" s="658"/>
      <c r="BH174" s="676"/>
      <c r="BI174" s="658"/>
      <c r="BJ174" s="658"/>
      <c r="BK174" s="658"/>
      <c r="BL174" s="658"/>
      <c r="BM174" s="658"/>
      <c r="BN174" s="658"/>
      <c r="BO174" s="675"/>
    </row>
    <row r="175" spans="1:67" s="494" customFormat="1">
      <c r="A175" s="44"/>
      <c r="B175" s="479"/>
      <c r="C175" s="479"/>
      <c r="D175" s="479"/>
      <c r="E175" s="479"/>
      <c r="F175" s="479"/>
      <c r="G175" s="44"/>
      <c r="H175" s="44"/>
      <c r="I175" s="480"/>
      <c r="J175" s="44"/>
      <c r="K175" s="1"/>
      <c r="L175" s="44"/>
      <c r="M175" s="481"/>
      <c r="N175" s="482"/>
      <c r="O175" s="100"/>
      <c r="P175" s="483"/>
      <c r="Q175" s="482"/>
      <c r="R175" s="1"/>
      <c r="S175" s="484"/>
      <c r="T175" s="1"/>
      <c r="U175" s="484"/>
      <c r="V175" s="1"/>
      <c r="W175" s="484"/>
      <c r="X175" s="1"/>
      <c r="Y175" s="484"/>
      <c r="Z175" s="1"/>
      <c r="AA175" s="1"/>
      <c r="AB175" s="1"/>
      <c r="AC175" s="1"/>
      <c r="AD175" s="482"/>
      <c r="AE175" s="485"/>
      <c r="AF175" s="486"/>
      <c r="AG175" s="487"/>
      <c r="AH175" s="487"/>
      <c r="AI175" s="488"/>
      <c r="AJ175" s="489"/>
      <c r="AK175" s="648"/>
      <c r="AL175" s="648"/>
      <c r="AM175" s="648"/>
      <c r="AN175" s="648"/>
      <c r="AO175" s="648"/>
      <c r="AP175" s="648"/>
      <c r="AQ175" s="658"/>
      <c r="AR175" s="648"/>
      <c r="AS175" s="658"/>
      <c r="AT175" s="658"/>
      <c r="AU175" s="658"/>
      <c r="AV175" s="658"/>
      <c r="AW175" s="658"/>
      <c r="AX175" s="658"/>
      <c r="AY175" s="658"/>
      <c r="AZ175" s="658"/>
      <c r="BA175" s="658"/>
      <c r="BB175" s="658"/>
      <c r="BC175" s="668"/>
      <c r="BD175" s="658"/>
      <c r="BE175" s="658"/>
      <c r="BF175" s="658"/>
      <c r="BG175" s="658"/>
      <c r="BH175" s="676"/>
      <c r="BI175" s="658"/>
      <c r="BJ175" s="658"/>
      <c r="BK175" s="658"/>
      <c r="BL175" s="658"/>
      <c r="BM175" s="658"/>
      <c r="BN175" s="658"/>
      <c r="BO175" s="675"/>
    </row>
    <row r="176" spans="1:67" s="494" customFormat="1">
      <c r="A176" s="44"/>
      <c r="B176" s="479"/>
      <c r="C176" s="479"/>
      <c r="D176" s="479"/>
      <c r="E176" s="479"/>
      <c r="F176" s="479"/>
      <c r="G176" s="44"/>
      <c r="H176" s="44"/>
      <c r="I176" s="480"/>
      <c r="J176" s="44"/>
      <c r="K176" s="1"/>
      <c r="L176" s="44"/>
      <c r="M176" s="481"/>
      <c r="N176" s="482"/>
      <c r="O176" s="100"/>
      <c r="P176" s="483"/>
      <c r="Q176" s="482"/>
      <c r="R176" s="1"/>
      <c r="S176" s="484"/>
      <c r="T176" s="1"/>
      <c r="U176" s="484"/>
      <c r="V176" s="1"/>
      <c r="W176" s="484"/>
      <c r="X176" s="1"/>
      <c r="Y176" s="484"/>
      <c r="Z176" s="1"/>
      <c r="AA176" s="1"/>
      <c r="AB176" s="1"/>
      <c r="AC176" s="1"/>
      <c r="AD176" s="482"/>
      <c r="AE176" s="485"/>
      <c r="AF176" s="486"/>
      <c r="AG176" s="487"/>
      <c r="AH176" s="487"/>
      <c r="AI176" s="488"/>
      <c r="AJ176" s="489"/>
      <c r="AK176" s="648"/>
      <c r="AL176" s="648"/>
      <c r="AM176" s="648"/>
      <c r="AN176" s="648"/>
      <c r="AO176" s="648"/>
      <c r="AP176" s="648"/>
      <c r="AQ176" s="658"/>
      <c r="AR176" s="648"/>
      <c r="AS176" s="658"/>
      <c r="AT176" s="658"/>
      <c r="AU176" s="658"/>
      <c r="AV176" s="658"/>
      <c r="AW176" s="658"/>
      <c r="AX176" s="658"/>
      <c r="AY176" s="658"/>
      <c r="AZ176" s="658"/>
      <c r="BA176" s="658"/>
      <c r="BB176" s="658"/>
      <c r="BC176" s="668"/>
      <c r="BD176" s="658"/>
      <c r="BE176" s="658"/>
      <c r="BF176" s="658"/>
      <c r="BG176" s="658"/>
      <c r="BH176" s="676"/>
      <c r="BI176" s="658"/>
      <c r="BJ176" s="658"/>
      <c r="BK176" s="658"/>
      <c r="BL176" s="658"/>
      <c r="BM176" s="658"/>
      <c r="BN176" s="658"/>
      <c r="BO176" s="675"/>
    </row>
    <row r="177" spans="1:67" s="494" customFormat="1">
      <c r="A177" s="44"/>
      <c r="B177" s="479"/>
      <c r="C177" s="479"/>
      <c r="D177" s="479"/>
      <c r="E177" s="479"/>
      <c r="F177" s="479"/>
      <c r="G177" s="44"/>
      <c r="H177" s="44"/>
      <c r="I177" s="480"/>
      <c r="J177" s="44"/>
      <c r="K177" s="1"/>
      <c r="L177" s="44"/>
      <c r="M177" s="481"/>
      <c r="N177" s="482"/>
      <c r="O177" s="100"/>
      <c r="P177" s="483"/>
      <c r="Q177" s="482"/>
      <c r="R177" s="1"/>
      <c r="S177" s="484"/>
      <c r="T177" s="1"/>
      <c r="U177" s="484"/>
      <c r="V177" s="1"/>
      <c r="W177" s="484"/>
      <c r="X177" s="1"/>
      <c r="Y177" s="484"/>
      <c r="Z177" s="1"/>
      <c r="AA177" s="1"/>
      <c r="AB177" s="1"/>
      <c r="AC177" s="1"/>
      <c r="AD177" s="482"/>
      <c r="AE177" s="485"/>
      <c r="AF177" s="486"/>
      <c r="AG177" s="487"/>
      <c r="AH177" s="487"/>
      <c r="AI177" s="488"/>
      <c r="AJ177" s="489"/>
      <c r="AK177" s="648"/>
      <c r="AL177" s="648"/>
      <c r="AM177" s="648"/>
      <c r="AN177" s="648"/>
      <c r="AO177" s="648"/>
      <c r="AP177" s="648"/>
      <c r="AQ177" s="658"/>
      <c r="AR177" s="648"/>
      <c r="AS177" s="658"/>
      <c r="AT177" s="658"/>
      <c r="AU177" s="658"/>
      <c r="AV177" s="658"/>
      <c r="AW177" s="658"/>
      <c r="AX177" s="658"/>
      <c r="AY177" s="658"/>
      <c r="AZ177" s="658"/>
      <c r="BA177" s="658"/>
      <c r="BB177" s="658"/>
      <c r="BC177" s="668"/>
      <c r="BD177" s="658"/>
      <c r="BE177" s="658"/>
      <c r="BF177" s="658"/>
      <c r="BG177" s="658"/>
      <c r="BH177" s="676"/>
      <c r="BI177" s="658"/>
      <c r="BJ177" s="658"/>
      <c r="BK177" s="658"/>
      <c r="BL177" s="658"/>
      <c r="BM177" s="658"/>
      <c r="BN177" s="658"/>
      <c r="BO177" s="675"/>
    </row>
    <row r="178" spans="1:67" s="494" customFormat="1">
      <c r="A178" s="44"/>
      <c r="B178" s="479"/>
      <c r="C178" s="479"/>
      <c r="D178" s="479"/>
      <c r="E178" s="479"/>
      <c r="F178" s="479"/>
      <c r="G178" s="44"/>
      <c r="H178" s="44"/>
      <c r="I178" s="480"/>
      <c r="J178" s="44"/>
      <c r="K178" s="1"/>
      <c r="L178" s="44"/>
      <c r="M178" s="481"/>
      <c r="N178" s="482"/>
      <c r="O178" s="100"/>
      <c r="P178" s="483"/>
      <c r="Q178" s="482"/>
      <c r="R178" s="1"/>
      <c r="S178" s="484"/>
      <c r="T178" s="1"/>
      <c r="U178" s="484"/>
      <c r="V178" s="1"/>
      <c r="W178" s="484"/>
      <c r="X178" s="1"/>
      <c r="Y178" s="484"/>
      <c r="Z178" s="1"/>
      <c r="AA178" s="1"/>
      <c r="AB178" s="1"/>
      <c r="AC178" s="1"/>
      <c r="AD178" s="482"/>
      <c r="AE178" s="485"/>
      <c r="AF178" s="486"/>
      <c r="AG178" s="487"/>
      <c r="AH178" s="487"/>
      <c r="AI178" s="488"/>
      <c r="AJ178" s="489"/>
      <c r="AK178" s="648"/>
      <c r="AL178" s="648"/>
      <c r="AM178" s="648"/>
      <c r="AN178" s="648"/>
      <c r="AO178" s="648"/>
      <c r="AP178" s="648"/>
      <c r="AQ178" s="658"/>
      <c r="AR178" s="648"/>
      <c r="AS178" s="658"/>
      <c r="AT178" s="658"/>
      <c r="AU178" s="658"/>
      <c r="AV178" s="658"/>
      <c r="AW178" s="658"/>
      <c r="AX178" s="658"/>
      <c r="AY178" s="658"/>
      <c r="AZ178" s="658"/>
      <c r="BA178" s="658"/>
      <c r="BB178" s="658"/>
      <c r="BC178" s="668"/>
      <c r="BD178" s="658"/>
      <c r="BE178" s="658"/>
      <c r="BF178" s="658"/>
      <c r="BG178" s="658"/>
      <c r="BH178" s="676"/>
      <c r="BI178" s="658"/>
      <c r="BJ178" s="658"/>
      <c r="BK178" s="658"/>
      <c r="BL178" s="658"/>
      <c r="BM178" s="658"/>
      <c r="BN178" s="658"/>
      <c r="BO178" s="675"/>
    </row>
    <row r="179" spans="1:67" s="494" customFormat="1">
      <c r="A179" s="44"/>
      <c r="B179" s="479"/>
      <c r="C179" s="479"/>
      <c r="D179" s="479"/>
      <c r="E179" s="479"/>
      <c r="F179" s="479"/>
      <c r="G179" s="44"/>
      <c r="H179" s="44"/>
      <c r="I179" s="480"/>
      <c r="J179" s="44"/>
      <c r="K179" s="1"/>
      <c r="L179" s="44"/>
      <c r="M179" s="481"/>
      <c r="N179" s="482"/>
      <c r="O179" s="100"/>
      <c r="P179" s="483"/>
      <c r="Q179" s="482"/>
      <c r="R179" s="1"/>
      <c r="S179" s="484"/>
      <c r="T179" s="1"/>
      <c r="U179" s="484"/>
      <c r="V179" s="1"/>
      <c r="W179" s="484"/>
      <c r="X179" s="1"/>
      <c r="Y179" s="484"/>
      <c r="Z179" s="1"/>
      <c r="AA179" s="1"/>
      <c r="AB179" s="1"/>
      <c r="AC179" s="1"/>
      <c r="AD179" s="482"/>
      <c r="AE179" s="485"/>
      <c r="AF179" s="486"/>
      <c r="AG179" s="487"/>
      <c r="AH179" s="487"/>
      <c r="AI179" s="488"/>
      <c r="AJ179" s="489"/>
      <c r="AK179" s="648"/>
      <c r="AL179" s="648"/>
      <c r="AM179" s="648"/>
      <c r="AN179" s="648"/>
      <c r="AO179" s="648"/>
      <c r="AP179" s="648"/>
      <c r="AQ179" s="658"/>
      <c r="AR179" s="648"/>
      <c r="AS179" s="658"/>
      <c r="AT179" s="658"/>
      <c r="AU179" s="658"/>
      <c r="AV179" s="658"/>
      <c r="AW179" s="658"/>
      <c r="AX179" s="658"/>
      <c r="AY179" s="658"/>
      <c r="AZ179" s="658"/>
      <c r="BA179" s="658"/>
      <c r="BB179" s="658"/>
      <c r="BC179" s="668"/>
      <c r="BD179" s="658"/>
      <c r="BE179" s="658"/>
      <c r="BF179" s="658"/>
      <c r="BG179" s="658"/>
      <c r="BH179" s="676"/>
      <c r="BI179" s="658"/>
      <c r="BJ179" s="658"/>
      <c r="BK179" s="658"/>
      <c r="BL179" s="658"/>
      <c r="BM179" s="658"/>
      <c r="BN179" s="658"/>
      <c r="BO179" s="675"/>
    </row>
    <row r="180" spans="1:67" s="494" customFormat="1">
      <c r="A180" s="44"/>
      <c r="B180" s="479"/>
      <c r="C180" s="479"/>
      <c r="D180" s="479"/>
      <c r="E180" s="479"/>
      <c r="F180" s="479"/>
      <c r="G180" s="44"/>
      <c r="H180" s="44"/>
      <c r="I180" s="480"/>
      <c r="J180" s="44"/>
      <c r="K180" s="1"/>
      <c r="L180" s="44"/>
      <c r="M180" s="481"/>
      <c r="N180" s="482"/>
      <c r="O180" s="100"/>
      <c r="P180" s="483"/>
      <c r="Q180" s="482"/>
      <c r="R180" s="1"/>
      <c r="S180" s="484"/>
      <c r="T180" s="1"/>
      <c r="U180" s="484"/>
      <c r="V180" s="1"/>
      <c r="W180" s="484"/>
      <c r="X180" s="1"/>
      <c r="Y180" s="484"/>
      <c r="Z180" s="1"/>
      <c r="AA180" s="1"/>
      <c r="AB180" s="1"/>
      <c r="AC180" s="1"/>
      <c r="AD180" s="482"/>
      <c r="AE180" s="485"/>
      <c r="AF180" s="486"/>
      <c r="AG180" s="487"/>
      <c r="AH180" s="487"/>
      <c r="AI180" s="488"/>
      <c r="AJ180" s="489"/>
      <c r="AK180" s="648"/>
      <c r="AL180" s="648"/>
      <c r="AM180" s="648"/>
      <c r="AN180" s="648"/>
      <c r="AO180" s="648"/>
      <c r="AP180" s="648"/>
      <c r="AQ180" s="658"/>
      <c r="AR180" s="648"/>
      <c r="AS180" s="658"/>
      <c r="AT180" s="658"/>
      <c r="AU180" s="658"/>
      <c r="AV180" s="658"/>
      <c r="AW180" s="658"/>
      <c r="AX180" s="658"/>
      <c r="AY180" s="658"/>
      <c r="AZ180" s="658"/>
      <c r="BA180" s="658"/>
      <c r="BB180" s="658"/>
      <c r="BC180" s="668"/>
      <c r="BD180" s="658"/>
      <c r="BE180" s="658"/>
      <c r="BF180" s="658"/>
      <c r="BG180" s="658"/>
      <c r="BH180" s="676"/>
      <c r="BI180" s="658"/>
      <c r="BJ180" s="658"/>
      <c r="BK180" s="658"/>
      <c r="BL180" s="658"/>
      <c r="BM180" s="658"/>
      <c r="BN180" s="658"/>
      <c r="BO180" s="675"/>
    </row>
    <row r="181" spans="1:67" s="494" customFormat="1">
      <c r="A181" s="44"/>
      <c r="B181" s="479"/>
      <c r="C181" s="479"/>
      <c r="D181" s="479"/>
      <c r="E181" s="479"/>
      <c r="F181" s="479"/>
      <c r="G181" s="44"/>
      <c r="H181" s="44"/>
      <c r="I181" s="480"/>
      <c r="J181" s="44"/>
      <c r="K181" s="1"/>
      <c r="L181" s="44"/>
      <c r="M181" s="481"/>
      <c r="N181" s="482"/>
      <c r="O181" s="100"/>
      <c r="P181" s="483"/>
      <c r="Q181" s="482"/>
      <c r="R181" s="1"/>
      <c r="S181" s="484"/>
      <c r="T181" s="1"/>
      <c r="U181" s="484"/>
      <c r="V181" s="1"/>
      <c r="W181" s="484"/>
      <c r="X181" s="1"/>
      <c r="Y181" s="484"/>
      <c r="Z181" s="1"/>
      <c r="AA181" s="1"/>
      <c r="AB181" s="1"/>
      <c r="AC181" s="1"/>
      <c r="AD181" s="482"/>
      <c r="AE181" s="485"/>
      <c r="AF181" s="486"/>
      <c r="AG181" s="487"/>
      <c r="AH181" s="487"/>
      <c r="AI181" s="488"/>
      <c r="AJ181" s="489"/>
      <c r="AK181" s="648"/>
      <c r="AL181" s="648"/>
      <c r="AM181" s="648"/>
      <c r="AN181" s="648"/>
      <c r="AO181" s="648"/>
      <c r="AP181" s="648"/>
      <c r="AQ181" s="658"/>
      <c r="AR181" s="648"/>
      <c r="AS181" s="658"/>
      <c r="AT181" s="658"/>
      <c r="AU181" s="658"/>
      <c r="AV181" s="658"/>
      <c r="AW181" s="658"/>
      <c r="AX181" s="658"/>
      <c r="AY181" s="658"/>
      <c r="AZ181" s="658"/>
      <c r="BA181" s="658"/>
      <c r="BB181" s="658"/>
      <c r="BC181" s="668"/>
      <c r="BD181" s="658"/>
      <c r="BE181" s="658"/>
      <c r="BF181" s="658"/>
      <c r="BG181" s="658"/>
      <c r="BH181" s="676"/>
      <c r="BI181" s="658"/>
      <c r="BJ181" s="658"/>
      <c r="BK181" s="658"/>
      <c r="BL181" s="658"/>
      <c r="BM181" s="658"/>
      <c r="BN181" s="658"/>
      <c r="BO181" s="675"/>
    </row>
    <row r="182" spans="1:67" s="494" customFormat="1">
      <c r="A182" s="44"/>
      <c r="B182" s="479"/>
      <c r="C182" s="479"/>
      <c r="D182" s="479"/>
      <c r="E182" s="479"/>
      <c r="F182" s="479"/>
      <c r="G182" s="44"/>
      <c r="H182" s="44"/>
      <c r="I182" s="480"/>
      <c r="J182" s="44"/>
      <c r="K182" s="1"/>
      <c r="L182" s="44"/>
      <c r="M182" s="481"/>
      <c r="N182" s="482"/>
      <c r="O182" s="100"/>
      <c r="P182" s="483"/>
      <c r="Q182" s="482"/>
      <c r="R182" s="1"/>
      <c r="S182" s="484"/>
      <c r="T182" s="1"/>
      <c r="U182" s="484"/>
      <c r="V182" s="1"/>
      <c r="W182" s="484"/>
      <c r="X182" s="1"/>
      <c r="Y182" s="484"/>
      <c r="Z182" s="1"/>
      <c r="AA182" s="1"/>
      <c r="AB182" s="1"/>
      <c r="AC182" s="1"/>
      <c r="AD182" s="482"/>
      <c r="AE182" s="485"/>
      <c r="AF182" s="486"/>
      <c r="AG182" s="487"/>
      <c r="AH182" s="487"/>
      <c r="AI182" s="488"/>
      <c r="AJ182" s="489"/>
      <c r="AK182" s="648"/>
      <c r="AL182" s="648"/>
      <c r="AM182" s="648"/>
      <c r="AN182" s="648"/>
      <c r="AO182" s="648"/>
      <c r="AP182" s="648"/>
      <c r="AQ182" s="658"/>
      <c r="AR182" s="648"/>
      <c r="AS182" s="658"/>
      <c r="AT182" s="658"/>
      <c r="AU182" s="658"/>
      <c r="AV182" s="658"/>
      <c r="AW182" s="658"/>
      <c r="AX182" s="658"/>
      <c r="AY182" s="658"/>
      <c r="AZ182" s="658"/>
      <c r="BA182" s="658"/>
      <c r="BB182" s="658"/>
      <c r="BC182" s="668"/>
      <c r="BD182" s="658"/>
      <c r="BE182" s="658"/>
      <c r="BF182" s="658"/>
      <c r="BG182" s="658"/>
      <c r="BH182" s="676"/>
      <c r="BI182" s="658"/>
      <c r="BJ182" s="658"/>
      <c r="BK182" s="658"/>
      <c r="BL182" s="658"/>
      <c r="BM182" s="658"/>
      <c r="BN182" s="658"/>
      <c r="BO182" s="675"/>
    </row>
    <row r="183" spans="1:67" s="494" customFormat="1">
      <c r="A183" s="44"/>
      <c r="B183" s="479"/>
      <c r="C183" s="479"/>
      <c r="D183" s="479"/>
      <c r="E183" s="479"/>
      <c r="F183" s="479"/>
      <c r="G183" s="44"/>
      <c r="H183" s="44"/>
      <c r="I183" s="480"/>
      <c r="J183" s="44"/>
      <c r="K183" s="1"/>
      <c r="L183" s="44"/>
      <c r="M183" s="481"/>
      <c r="N183" s="482"/>
      <c r="O183" s="100"/>
      <c r="P183" s="483"/>
      <c r="Q183" s="482"/>
      <c r="R183" s="1"/>
      <c r="S183" s="484"/>
      <c r="T183" s="1"/>
      <c r="U183" s="484"/>
      <c r="V183" s="1"/>
      <c r="W183" s="484"/>
      <c r="X183" s="1"/>
      <c r="Y183" s="484"/>
      <c r="Z183" s="1"/>
      <c r="AA183" s="1"/>
      <c r="AB183" s="1"/>
      <c r="AC183" s="1"/>
      <c r="AD183" s="482"/>
      <c r="AE183" s="485"/>
      <c r="AF183" s="486"/>
      <c r="AG183" s="487"/>
      <c r="AH183" s="487"/>
      <c r="AI183" s="488"/>
      <c r="AJ183" s="489"/>
      <c r="AK183" s="648"/>
      <c r="AL183" s="648"/>
      <c r="AM183" s="648"/>
      <c r="AN183" s="648"/>
      <c r="AO183" s="648"/>
      <c r="AP183" s="648"/>
      <c r="AQ183" s="658"/>
      <c r="AR183" s="648"/>
      <c r="AS183" s="658"/>
      <c r="AT183" s="658"/>
      <c r="AU183" s="658"/>
      <c r="AV183" s="658"/>
      <c r="AW183" s="658"/>
      <c r="AX183" s="658"/>
      <c r="AY183" s="658"/>
      <c r="AZ183" s="658"/>
      <c r="BA183" s="658"/>
      <c r="BB183" s="658"/>
      <c r="BC183" s="668"/>
      <c r="BD183" s="658"/>
      <c r="BE183" s="658"/>
      <c r="BF183" s="658"/>
      <c r="BG183" s="658"/>
      <c r="BH183" s="676"/>
      <c r="BI183" s="658"/>
      <c r="BJ183" s="658"/>
      <c r="BK183" s="658"/>
      <c r="BL183" s="658"/>
      <c r="BM183" s="658"/>
      <c r="BN183" s="658"/>
      <c r="BO183" s="675"/>
    </row>
    <row r="184" spans="1:67" s="494" customFormat="1">
      <c r="A184" s="44"/>
      <c r="B184" s="479"/>
      <c r="C184" s="479"/>
      <c r="D184" s="479"/>
      <c r="E184" s="479"/>
      <c r="F184" s="479"/>
      <c r="G184" s="44"/>
      <c r="H184" s="44"/>
      <c r="I184" s="480"/>
      <c r="J184" s="44"/>
      <c r="K184" s="1"/>
      <c r="L184" s="44"/>
      <c r="M184" s="481"/>
      <c r="N184" s="482"/>
      <c r="O184" s="100"/>
      <c r="P184" s="483"/>
      <c r="Q184" s="482"/>
      <c r="R184" s="1"/>
      <c r="S184" s="484"/>
      <c r="T184" s="1"/>
      <c r="U184" s="484"/>
      <c r="V184" s="1"/>
      <c r="W184" s="484"/>
      <c r="X184" s="1"/>
      <c r="Y184" s="484"/>
      <c r="Z184" s="1"/>
      <c r="AA184" s="1"/>
      <c r="AB184" s="1"/>
      <c r="AC184" s="1"/>
      <c r="AD184" s="482"/>
      <c r="AE184" s="485"/>
      <c r="AF184" s="486"/>
      <c r="AG184" s="487"/>
      <c r="AH184" s="487"/>
      <c r="AI184" s="488"/>
      <c r="AJ184" s="489"/>
      <c r="AK184" s="648"/>
      <c r="AL184" s="648"/>
      <c r="AM184" s="648"/>
      <c r="AN184" s="648"/>
      <c r="AO184" s="648"/>
      <c r="AP184" s="648"/>
      <c r="AQ184" s="658"/>
      <c r="AR184" s="648"/>
      <c r="AS184" s="658"/>
      <c r="AT184" s="658"/>
      <c r="AU184" s="658"/>
      <c r="AV184" s="658"/>
      <c r="AW184" s="658"/>
      <c r="AX184" s="658"/>
      <c r="AY184" s="658"/>
      <c r="AZ184" s="658"/>
      <c r="BA184" s="658"/>
      <c r="BB184" s="658"/>
      <c r="BC184" s="668"/>
      <c r="BD184" s="658"/>
      <c r="BE184" s="658"/>
      <c r="BF184" s="658"/>
      <c r="BG184" s="658"/>
      <c r="BH184" s="676"/>
      <c r="BI184" s="658"/>
      <c r="BJ184" s="658"/>
      <c r="BK184" s="658"/>
      <c r="BL184" s="658"/>
      <c r="BM184" s="658"/>
      <c r="BN184" s="658"/>
      <c r="BO184" s="675"/>
    </row>
    <row r="185" spans="1:67" s="494" customFormat="1">
      <c r="A185" s="44"/>
      <c r="B185" s="479"/>
      <c r="C185" s="479"/>
      <c r="D185" s="479"/>
      <c r="E185" s="479"/>
      <c r="F185" s="479"/>
      <c r="G185" s="44"/>
      <c r="H185" s="44"/>
      <c r="I185" s="480"/>
      <c r="J185" s="44"/>
      <c r="K185" s="1"/>
      <c r="L185" s="44"/>
      <c r="M185" s="481"/>
      <c r="N185" s="482"/>
      <c r="O185" s="100"/>
      <c r="P185" s="483"/>
      <c r="Q185" s="482"/>
      <c r="R185" s="1"/>
      <c r="S185" s="484"/>
      <c r="T185" s="1"/>
      <c r="U185" s="484"/>
      <c r="V185" s="1"/>
      <c r="W185" s="484"/>
      <c r="X185" s="1"/>
      <c r="Y185" s="484"/>
      <c r="Z185" s="1"/>
      <c r="AA185" s="1"/>
      <c r="AB185" s="1"/>
      <c r="AC185" s="1"/>
      <c r="AD185" s="482"/>
      <c r="AE185" s="485"/>
      <c r="AF185" s="486"/>
      <c r="AG185" s="487"/>
      <c r="AH185" s="487"/>
      <c r="AI185" s="488"/>
      <c r="AJ185" s="489"/>
      <c r="AK185" s="648"/>
      <c r="AL185" s="648"/>
      <c r="AM185" s="648"/>
      <c r="AN185" s="648"/>
      <c r="AO185" s="648"/>
      <c r="AP185" s="648"/>
      <c r="AQ185" s="658"/>
      <c r="AR185" s="648"/>
      <c r="AS185" s="658"/>
      <c r="AT185" s="658"/>
      <c r="AU185" s="658"/>
      <c r="AV185" s="658"/>
      <c r="AW185" s="658"/>
      <c r="AX185" s="658"/>
      <c r="AY185" s="658"/>
      <c r="AZ185" s="658"/>
      <c r="BA185" s="658"/>
      <c r="BB185" s="658"/>
      <c r="BC185" s="668"/>
      <c r="BD185" s="658"/>
      <c r="BE185" s="658"/>
      <c r="BF185" s="658"/>
      <c r="BG185" s="658"/>
      <c r="BH185" s="676"/>
      <c r="BI185" s="658"/>
      <c r="BJ185" s="658"/>
      <c r="BK185" s="658"/>
      <c r="BL185" s="658"/>
      <c r="BM185" s="658"/>
      <c r="BN185" s="658"/>
      <c r="BO185" s="675"/>
    </row>
    <row r="186" spans="1:67" s="494" customFormat="1">
      <c r="A186" s="44"/>
      <c r="B186" s="479"/>
      <c r="C186" s="479"/>
      <c r="D186" s="479"/>
      <c r="E186" s="479"/>
      <c r="F186" s="479"/>
      <c r="G186" s="44"/>
      <c r="H186" s="44"/>
      <c r="I186" s="480"/>
      <c r="J186" s="44"/>
      <c r="K186" s="1"/>
      <c r="L186" s="44"/>
      <c r="M186" s="481"/>
      <c r="N186" s="482"/>
      <c r="O186" s="100"/>
      <c r="P186" s="483"/>
      <c r="Q186" s="482"/>
      <c r="R186" s="1"/>
      <c r="S186" s="484"/>
      <c r="T186" s="1"/>
      <c r="U186" s="484"/>
      <c r="V186" s="1"/>
      <c r="W186" s="484"/>
      <c r="X186" s="1"/>
      <c r="Y186" s="484"/>
      <c r="Z186" s="1"/>
      <c r="AA186" s="1"/>
      <c r="AB186" s="1"/>
      <c r="AC186" s="1"/>
      <c r="AD186" s="482"/>
      <c r="AE186" s="485"/>
      <c r="AF186" s="486"/>
      <c r="AG186" s="487"/>
      <c r="AH186" s="487"/>
      <c r="AI186" s="488"/>
      <c r="AJ186" s="489"/>
      <c r="AK186" s="648"/>
      <c r="AL186" s="648"/>
      <c r="AM186" s="648"/>
      <c r="AN186" s="648"/>
      <c r="AO186" s="648"/>
      <c r="AP186" s="648"/>
      <c r="AQ186" s="658"/>
      <c r="AR186" s="648"/>
      <c r="AS186" s="658"/>
      <c r="AT186" s="658"/>
      <c r="AU186" s="658"/>
      <c r="AV186" s="658"/>
      <c r="AW186" s="658"/>
      <c r="AX186" s="658"/>
      <c r="AY186" s="658"/>
      <c r="AZ186" s="658"/>
      <c r="BA186" s="658"/>
      <c r="BB186" s="658"/>
      <c r="BC186" s="668"/>
      <c r="BD186" s="658"/>
      <c r="BE186" s="658"/>
      <c r="BF186" s="658"/>
      <c r="BG186" s="658"/>
      <c r="BH186" s="676"/>
      <c r="BI186" s="658"/>
      <c r="BJ186" s="658"/>
      <c r="BK186" s="658"/>
      <c r="BL186" s="658"/>
      <c r="BM186" s="658"/>
      <c r="BN186" s="658"/>
      <c r="BO186" s="675"/>
    </row>
    <row r="187" spans="1:67" s="494" customFormat="1">
      <c r="A187" s="44"/>
      <c r="B187" s="479"/>
      <c r="C187" s="479"/>
      <c r="D187" s="479"/>
      <c r="E187" s="479"/>
      <c r="F187" s="479"/>
      <c r="G187" s="44"/>
      <c r="H187" s="44"/>
      <c r="I187" s="480"/>
      <c r="J187" s="44"/>
      <c r="K187" s="1"/>
      <c r="L187" s="44"/>
      <c r="M187" s="481"/>
      <c r="N187" s="482"/>
      <c r="O187" s="100"/>
      <c r="P187" s="483"/>
      <c r="Q187" s="482"/>
      <c r="R187" s="1"/>
      <c r="S187" s="484"/>
      <c r="T187" s="1"/>
      <c r="U187" s="484"/>
      <c r="V187" s="1"/>
      <c r="W187" s="484"/>
      <c r="X187" s="1"/>
      <c r="Y187" s="484"/>
      <c r="Z187" s="1"/>
      <c r="AA187" s="1"/>
      <c r="AB187" s="1"/>
      <c r="AC187" s="1"/>
      <c r="AD187" s="482"/>
      <c r="AE187" s="485"/>
      <c r="AF187" s="486"/>
      <c r="AG187" s="487"/>
      <c r="AH187" s="487"/>
      <c r="AI187" s="488"/>
      <c r="AJ187" s="489"/>
      <c r="AK187" s="648"/>
      <c r="AL187" s="648"/>
      <c r="AM187" s="648"/>
      <c r="AN187" s="648"/>
      <c r="AO187" s="648"/>
      <c r="AP187" s="648"/>
      <c r="AQ187" s="658"/>
      <c r="AR187" s="648"/>
      <c r="AS187" s="658"/>
      <c r="AT187" s="658"/>
      <c r="AU187" s="658"/>
      <c r="AV187" s="658"/>
      <c r="AW187" s="658"/>
      <c r="AX187" s="658"/>
      <c r="AY187" s="658"/>
      <c r="AZ187" s="658"/>
      <c r="BA187" s="658"/>
      <c r="BB187" s="658"/>
      <c r="BC187" s="668"/>
      <c r="BD187" s="658"/>
      <c r="BE187" s="658"/>
      <c r="BF187" s="658"/>
      <c r="BG187" s="658"/>
      <c r="BH187" s="676"/>
      <c r="BI187" s="658"/>
      <c r="BJ187" s="658"/>
      <c r="BK187" s="658"/>
      <c r="BL187" s="658"/>
      <c r="BM187" s="658"/>
      <c r="BN187" s="658"/>
      <c r="BO187" s="675"/>
    </row>
    <row r="188" spans="1:67" s="494" customFormat="1">
      <c r="A188" s="44"/>
      <c r="B188" s="479"/>
      <c r="C188" s="479"/>
      <c r="D188" s="479"/>
      <c r="E188" s="479"/>
      <c r="F188" s="479"/>
      <c r="G188" s="44"/>
      <c r="H188" s="44"/>
      <c r="I188" s="480"/>
      <c r="J188" s="44"/>
      <c r="K188" s="1"/>
      <c r="L188" s="44"/>
      <c r="M188" s="481"/>
      <c r="N188" s="482"/>
      <c r="O188" s="100"/>
      <c r="P188" s="483"/>
      <c r="Q188" s="482"/>
      <c r="R188" s="1"/>
      <c r="S188" s="484"/>
      <c r="T188" s="1"/>
      <c r="U188" s="484"/>
      <c r="V188" s="1"/>
      <c r="W188" s="484"/>
      <c r="X188" s="1"/>
      <c r="Y188" s="484"/>
      <c r="Z188" s="1"/>
      <c r="AA188" s="1"/>
      <c r="AB188" s="1"/>
      <c r="AC188" s="1"/>
      <c r="AD188" s="482"/>
      <c r="AE188" s="485"/>
      <c r="AF188" s="486"/>
      <c r="AG188" s="487"/>
      <c r="AH188" s="487"/>
      <c r="AI188" s="488"/>
      <c r="AJ188" s="489"/>
      <c r="AK188" s="648"/>
      <c r="AL188" s="648"/>
      <c r="AM188" s="648"/>
      <c r="AN188" s="648"/>
      <c r="AO188" s="648"/>
      <c r="AP188" s="648"/>
      <c r="AQ188" s="658"/>
      <c r="AR188" s="648"/>
      <c r="AS188" s="658"/>
      <c r="AT188" s="658"/>
      <c r="AU188" s="658"/>
      <c r="AV188" s="658"/>
      <c r="AW188" s="658"/>
      <c r="AX188" s="658"/>
      <c r="AY188" s="658"/>
      <c r="AZ188" s="658"/>
      <c r="BA188" s="658"/>
      <c r="BB188" s="658"/>
      <c r="BC188" s="668"/>
      <c r="BD188" s="658"/>
      <c r="BE188" s="658"/>
      <c r="BF188" s="658"/>
      <c r="BG188" s="658"/>
      <c r="BH188" s="676"/>
      <c r="BI188" s="658"/>
      <c r="BJ188" s="658"/>
      <c r="BK188" s="658"/>
      <c r="BL188" s="658"/>
      <c r="BM188" s="658"/>
      <c r="BN188" s="658"/>
      <c r="BO188" s="675"/>
    </row>
    <row r="189" spans="1:67" s="494" customFormat="1">
      <c r="A189" s="44"/>
      <c r="B189" s="479"/>
      <c r="C189" s="479"/>
      <c r="D189" s="479"/>
      <c r="E189" s="479"/>
      <c r="F189" s="479"/>
      <c r="G189" s="44"/>
      <c r="H189" s="44"/>
      <c r="I189" s="480"/>
      <c r="J189" s="44"/>
      <c r="K189" s="1"/>
      <c r="L189" s="44"/>
      <c r="M189" s="481"/>
      <c r="N189" s="482"/>
      <c r="O189" s="100"/>
      <c r="P189" s="483"/>
      <c r="Q189" s="482"/>
      <c r="R189" s="1"/>
      <c r="S189" s="484"/>
      <c r="T189" s="1"/>
      <c r="U189" s="484"/>
      <c r="V189" s="1"/>
      <c r="W189" s="484"/>
      <c r="X189" s="1"/>
      <c r="Y189" s="484"/>
      <c r="Z189" s="1"/>
      <c r="AA189" s="1"/>
      <c r="AB189" s="1"/>
      <c r="AC189" s="1"/>
      <c r="AD189" s="482"/>
      <c r="AE189" s="485"/>
      <c r="AF189" s="486"/>
      <c r="AG189" s="487"/>
      <c r="AH189" s="487"/>
      <c r="AI189" s="488"/>
      <c r="AJ189" s="489"/>
      <c r="AK189" s="648"/>
      <c r="AL189" s="648"/>
      <c r="AM189" s="648"/>
      <c r="AN189" s="648"/>
      <c r="AO189" s="648"/>
      <c r="AP189" s="648"/>
      <c r="AQ189" s="658"/>
      <c r="AR189" s="648"/>
      <c r="AS189" s="658"/>
      <c r="AT189" s="658"/>
      <c r="AU189" s="658"/>
      <c r="AV189" s="658"/>
      <c r="AW189" s="658"/>
      <c r="AX189" s="658"/>
      <c r="AY189" s="658"/>
      <c r="AZ189" s="658"/>
      <c r="BA189" s="658"/>
      <c r="BB189" s="658"/>
      <c r="BC189" s="668"/>
      <c r="BD189" s="658"/>
      <c r="BE189" s="658"/>
      <c r="BF189" s="658"/>
      <c r="BG189" s="658"/>
      <c r="BH189" s="676"/>
      <c r="BI189" s="658"/>
      <c r="BJ189" s="658"/>
      <c r="BK189" s="658"/>
      <c r="BL189" s="658"/>
      <c r="BM189" s="658"/>
      <c r="BN189" s="658"/>
      <c r="BO189" s="675"/>
    </row>
    <row r="190" spans="1:67" s="494" customFormat="1">
      <c r="A190" s="44"/>
      <c r="B190" s="479"/>
      <c r="C190" s="479"/>
      <c r="D190" s="479"/>
      <c r="E190" s="479"/>
      <c r="F190" s="479"/>
      <c r="G190" s="44"/>
      <c r="H190" s="44"/>
      <c r="I190" s="480"/>
      <c r="J190" s="44"/>
      <c r="K190" s="1"/>
      <c r="L190" s="44"/>
      <c r="M190" s="481"/>
      <c r="N190" s="482"/>
      <c r="O190" s="100"/>
      <c r="P190" s="483"/>
      <c r="Q190" s="482"/>
      <c r="R190" s="1"/>
      <c r="S190" s="484"/>
      <c r="T190" s="1"/>
      <c r="U190" s="484"/>
      <c r="V190" s="1"/>
      <c r="W190" s="484"/>
      <c r="X190" s="1"/>
      <c r="Y190" s="484"/>
      <c r="Z190" s="1"/>
      <c r="AA190" s="1"/>
      <c r="AB190" s="1"/>
      <c r="AC190" s="1"/>
      <c r="AD190" s="482"/>
      <c r="AE190" s="485"/>
      <c r="AF190" s="486"/>
      <c r="AG190" s="487"/>
      <c r="AH190" s="487"/>
      <c r="AI190" s="488"/>
      <c r="AJ190" s="489"/>
      <c r="AK190" s="648"/>
      <c r="AL190" s="648"/>
      <c r="AM190" s="648"/>
      <c r="AN190" s="648"/>
      <c r="AO190" s="648"/>
      <c r="AP190" s="648"/>
      <c r="AQ190" s="658"/>
      <c r="AR190" s="648"/>
      <c r="AS190" s="658"/>
      <c r="AT190" s="658"/>
      <c r="AU190" s="658"/>
      <c r="AV190" s="658"/>
      <c r="AW190" s="658"/>
      <c r="AX190" s="658"/>
      <c r="AY190" s="658"/>
      <c r="AZ190" s="658"/>
      <c r="BA190" s="658"/>
      <c r="BB190" s="658"/>
      <c r="BC190" s="668"/>
      <c r="BD190" s="658"/>
      <c r="BE190" s="658"/>
      <c r="BF190" s="658"/>
      <c r="BG190" s="658"/>
      <c r="BH190" s="676"/>
      <c r="BI190" s="658"/>
      <c r="BJ190" s="658"/>
      <c r="BK190" s="658"/>
      <c r="BL190" s="658"/>
      <c r="BM190" s="658"/>
      <c r="BN190" s="658"/>
      <c r="BO190" s="675"/>
    </row>
    <row r="191" spans="1:67" s="494" customFormat="1">
      <c r="A191" s="44"/>
      <c r="B191" s="479"/>
      <c r="C191" s="479"/>
      <c r="D191" s="479"/>
      <c r="E191" s="479"/>
      <c r="F191" s="479"/>
      <c r="G191" s="44"/>
      <c r="H191" s="44"/>
      <c r="I191" s="480"/>
      <c r="J191" s="44"/>
      <c r="K191" s="1"/>
      <c r="L191" s="44"/>
      <c r="M191" s="481"/>
      <c r="N191" s="482"/>
      <c r="O191" s="100"/>
      <c r="P191" s="483"/>
      <c r="Q191" s="482"/>
      <c r="R191" s="1"/>
      <c r="S191" s="484"/>
      <c r="T191" s="1"/>
      <c r="U191" s="484"/>
      <c r="V191" s="1"/>
      <c r="W191" s="484"/>
      <c r="X191" s="1"/>
      <c r="Y191" s="484"/>
      <c r="Z191" s="1"/>
      <c r="AA191" s="1"/>
      <c r="AB191" s="1"/>
      <c r="AC191" s="1"/>
      <c r="AD191" s="482"/>
      <c r="AE191" s="485"/>
      <c r="AF191" s="486"/>
      <c r="AG191" s="487"/>
      <c r="AH191" s="487"/>
      <c r="AI191" s="488"/>
      <c r="AJ191" s="489"/>
      <c r="AK191" s="648"/>
      <c r="AL191" s="648"/>
      <c r="AM191" s="648"/>
      <c r="AN191" s="648"/>
      <c r="AO191" s="648"/>
      <c r="AP191" s="648"/>
      <c r="AQ191" s="658"/>
      <c r="AR191" s="648"/>
      <c r="AS191" s="658"/>
      <c r="AT191" s="658"/>
      <c r="AU191" s="658"/>
      <c r="AV191" s="658"/>
      <c r="AW191" s="658"/>
      <c r="AX191" s="658"/>
      <c r="AY191" s="658"/>
      <c r="AZ191" s="658"/>
      <c r="BA191" s="658"/>
      <c r="BB191" s="658"/>
      <c r="BC191" s="668"/>
      <c r="BD191" s="658"/>
      <c r="BE191" s="658"/>
      <c r="BF191" s="658"/>
      <c r="BG191" s="658"/>
      <c r="BH191" s="676"/>
      <c r="BI191" s="658"/>
      <c r="BJ191" s="658"/>
      <c r="BK191" s="658"/>
      <c r="BL191" s="658"/>
      <c r="BM191" s="658"/>
      <c r="BN191" s="658"/>
      <c r="BO191" s="675"/>
    </row>
    <row r="192" spans="1:67" s="494" customFormat="1">
      <c r="A192" s="44"/>
      <c r="B192" s="479"/>
      <c r="C192" s="479"/>
      <c r="D192" s="479"/>
      <c r="E192" s="479"/>
      <c r="F192" s="479"/>
      <c r="G192" s="44"/>
      <c r="H192" s="44"/>
      <c r="I192" s="480"/>
      <c r="J192" s="44"/>
      <c r="K192" s="1"/>
      <c r="L192" s="44"/>
      <c r="M192" s="481"/>
      <c r="N192" s="482"/>
      <c r="O192" s="100"/>
      <c r="P192" s="483"/>
      <c r="Q192" s="482"/>
      <c r="R192" s="1"/>
      <c r="S192" s="484"/>
      <c r="T192" s="1"/>
      <c r="U192" s="484"/>
      <c r="V192" s="1"/>
      <c r="W192" s="484"/>
      <c r="X192" s="1"/>
      <c r="Y192" s="484"/>
      <c r="Z192" s="1"/>
      <c r="AA192" s="1"/>
      <c r="AB192" s="1"/>
      <c r="AC192" s="1"/>
      <c r="AD192" s="482"/>
      <c r="AE192" s="485"/>
      <c r="AF192" s="486"/>
      <c r="AG192" s="487"/>
      <c r="AH192" s="487"/>
      <c r="AI192" s="488"/>
      <c r="AJ192" s="489"/>
      <c r="AK192" s="648"/>
      <c r="AL192" s="648"/>
      <c r="AM192" s="648"/>
      <c r="AN192" s="648"/>
      <c r="AO192" s="648"/>
      <c r="AP192" s="648"/>
      <c r="AQ192" s="658"/>
      <c r="AR192" s="648"/>
      <c r="AS192" s="658"/>
      <c r="AT192" s="658"/>
      <c r="AU192" s="658"/>
      <c r="AV192" s="658"/>
      <c r="AW192" s="658"/>
      <c r="AX192" s="658"/>
      <c r="AY192" s="658"/>
      <c r="AZ192" s="658"/>
      <c r="BA192" s="658"/>
      <c r="BB192" s="658"/>
      <c r="BC192" s="668"/>
      <c r="BD192" s="658"/>
      <c r="BE192" s="658"/>
      <c r="BF192" s="658"/>
      <c r="BG192" s="658"/>
      <c r="BH192" s="676"/>
      <c r="BI192" s="658"/>
      <c r="BJ192" s="658"/>
      <c r="BK192" s="658"/>
      <c r="BL192" s="658"/>
      <c r="BM192" s="658"/>
      <c r="BN192" s="658"/>
      <c r="BO192" s="675"/>
    </row>
    <row r="193" spans="1:67" s="494" customFormat="1">
      <c r="A193" s="44"/>
      <c r="B193" s="479"/>
      <c r="C193" s="479"/>
      <c r="D193" s="479"/>
      <c r="E193" s="479"/>
      <c r="F193" s="479"/>
      <c r="G193" s="44"/>
      <c r="H193" s="44"/>
      <c r="I193" s="480"/>
      <c r="J193" s="44"/>
      <c r="K193" s="1"/>
      <c r="L193" s="44"/>
      <c r="M193" s="481"/>
      <c r="N193" s="482"/>
      <c r="O193" s="100"/>
      <c r="P193" s="483"/>
      <c r="Q193" s="482"/>
      <c r="R193" s="1"/>
      <c r="S193" s="484"/>
      <c r="T193" s="1"/>
      <c r="U193" s="484"/>
      <c r="V193" s="1"/>
      <c r="W193" s="484"/>
      <c r="X193" s="1"/>
      <c r="Y193" s="484"/>
      <c r="Z193" s="1"/>
      <c r="AA193" s="1"/>
      <c r="AB193" s="1"/>
      <c r="AC193" s="1"/>
      <c r="AD193" s="482"/>
      <c r="AE193" s="485"/>
      <c r="AF193" s="486"/>
      <c r="AG193" s="487"/>
      <c r="AH193" s="487"/>
      <c r="AI193" s="488"/>
      <c r="AJ193" s="489"/>
      <c r="AK193" s="648"/>
      <c r="AL193" s="648"/>
      <c r="AM193" s="648"/>
      <c r="AN193" s="648"/>
      <c r="AO193" s="648"/>
      <c r="AP193" s="648"/>
      <c r="AQ193" s="658"/>
      <c r="AR193" s="648"/>
      <c r="AS193" s="658"/>
      <c r="AT193" s="658"/>
      <c r="AU193" s="658"/>
      <c r="AV193" s="658"/>
      <c r="AW193" s="658"/>
      <c r="AX193" s="658"/>
      <c r="AY193" s="658"/>
      <c r="AZ193" s="658"/>
      <c r="BA193" s="658"/>
      <c r="BB193" s="658"/>
      <c r="BC193" s="668"/>
      <c r="BD193" s="658"/>
      <c r="BE193" s="658"/>
      <c r="BF193" s="658"/>
      <c r="BG193" s="658"/>
      <c r="BH193" s="676"/>
      <c r="BI193" s="658"/>
      <c r="BJ193" s="658"/>
      <c r="BK193" s="658"/>
      <c r="BL193" s="658"/>
      <c r="BM193" s="658"/>
      <c r="BN193" s="658"/>
      <c r="BO193" s="675"/>
    </row>
    <row r="194" spans="1:67" s="494" customFormat="1">
      <c r="A194" s="44"/>
      <c r="B194" s="479"/>
      <c r="C194" s="479"/>
      <c r="D194" s="479"/>
      <c r="E194" s="479"/>
      <c r="F194" s="479"/>
      <c r="G194" s="44"/>
      <c r="H194" s="44"/>
      <c r="I194" s="480"/>
      <c r="J194" s="44"/>
      <c r="K194" s="1"/>
      <c r="L194" s="44"/>
      <c r="M194" s="481"/>
      <c r="N194" s="482"/>
      <c r="O194" s="100"/>
      <c r="P194" s="483"/>
      <c r="Q194" s="482"/>
      <c r="R194" s="1"/>
      <c r="S194" s="484"/>
      <c r="T194" s="1"/>
      <c r="U194" s="484"/>
      <c r="V194" s="1"/>
      <c r="W194" s="484"/>
      <c r="X194" s="1"/>
      <c r="Y194" s="484"/>
      <c r="Z194" s="1"/>
      <c r="AA194" s="1"/>
      <c r="AB194" s="1"/>
      <c r="AC194" s="1"/>
      <c r="AD194" s="482"/>
      <c r="AE194" s="485"/>
      <c r="AF194" s="486"/>
      <c r="AG194" s="487"/>
      <c r="AH194" s="487"/>
      <c r="AI194" s="488"/>
      <c r="AJ194" s="489"/>
      <c r="AK194" s="648"/>
      <c r="AL194" s="648"/>
      <c r="AM194" s="648"/>
      <c r="AN194" s="648"/>
      <c r="AO194" s="648"/>
      <c r="AP194" s="648"/>
      <c r="AQ194" s="658"/>
      <c r="AR194" s="648"/>
      <c r="AS194" s="658"/>
      <c r="AT194" s="658"/>
      <c r="AU194" s="658"/>
      <c r="AV194" s="658"/>
      <c r="AW194" s="658"/>
      <c r="AX194" s="658"/>
      <c r="AY194" s="658"/>
      <c r="AZ194" s="658"/>
      <c r="BA194" s="658"/>
      <c r="BB194" s="658"/>
      <c r="BC194" s="668"/>
      <c r="BD194" s="658"/>
      <c r="BE194" s="658"/>
      <c r="BF194" s="658"/>
      <c r="BG194" s="658"/>
      <c r="BH194" s="676"/>
      <c r="BI194" s="658"/>
      <c r="BJ194" s="658"/>
      <c r="BK194" s="658"/>
      <c r="BL194" s="658"/>
      <c r="BM194" s="658"/>
      <c r="BN194" s="658"/>
      <c r="BO194" s="675"/>
    </row>
    <row r="195" spans="1:67" s="494" customFormat="1">
      <c r="A195" s="44"/>
      <c r="B195" s="479"/>
      <c r="C195" s="479"/>
      <c r="D195" s="479"/>
      <c r="E195" s="479"/>
      <c r="F195" s="479"/>
      <c r="G195" s="44"/>
      <c r="H195" s="44"/>
      <c r="I195" s="480"/>
      <c r="J195" s="44"/>
      <c r="K195" s="1"/>
      <c r="L195" s="44"/>
      <c r="M195" s="481"/>
      <c r="N195" s="482"/>
      <c r="O195" s="100"/>
      <c r="P195" s="483"/>
      <c r="Q195" s="482"/>
      <c r="R195" s="1"/>
      <c r="S195" s="484"/>
      <c r="T195" s="1"/>
      <c r="U195" s="484"/>
      <c r="V195" s="1"/>
      <c r="W195" s="484"/>
      <c r="X195" s="1"/>
      <c r="Y195" s="484"/>
      <c r="Z195" s="1"/>
      <c r="AA195" s="1"/>
      <c r="AB195" s="1"/>
      <c r="AC195" s="1"/>
      <c r="AD195" s="482"/>
      <c r="AE195" s="485"/>
      <c r="AF195" s="486"/>
      <c r="AG195" s="487"/>
      <c r="AH195" s="487"/>
      <c r="AI195" s="488"/>
      <c r="AJ195" s="489"/>
      <c r="AK195" s="648"/>
      <c r="AL195" s="648"/>
      <c r="AM195" s="648"/>
      <c r="AN195" s="648"/>
      <c r="AO195" s="648"/>
      <c r="AP195" s="648"/>
      <c r="AQ195" s="658"/>
      <c r="AR195" s="648"/>
      <c r="AS195" s="658"/>
      <c r="AT195" s="658"/>
      <c r="AU195" s="658"/>
      <c r="AV195" s="658"/>
      <c r="AW195" s="658"/>
      <c r="AX195" s="658"/>
      <c r="AY195" s="658"/>
      <c r="AZ195" s="658"/>
      <c r="BA195" s="658"/>
      <c r="BB195" s="658"/>
      <c r="BC195" s="668"/>
      <c r="BD195" s="658"/>
      <c r="BE195" s="658"/>
      <c r="BF195" s="658"/>
      <c r="BG195" s="658"/>
      <c r="BH195" s="676"/>
      <c r="BI195" s="658"/>
      <c r="BJ195" s="658"/>
      <c r="BK195" s="658"/>
      <c r="BL195" s="658"/>
      <c r="BM195" s="658"/>
      <c r="BN195" s="658"/>
      <c r="BO195" s="675"/>
    </row>
    <row r="196" spans="1:67" s="494" customFormat="1">
      <c r="A196" s="44"/>
      <c r="B196" s="479"/>
      <c r="C196" s="479"/>
      <c r="D196" s="479"/>
      <c r="E196" s="479"/>
      <c r="F196" s="479"/>
      <c r="G196" s="44"/>
      <c r="H196" s="44"/>
      <c r="I196" s="480"/>
      <c r="J196" s="44"/>
      <c r="K196" s="1"/>
      <c r="L196" s="44"/>
      <c r="M196" s="481"/>
      <c r="N196" s="482"/>
      <c r="O196" s="100"/>
      <c r="P196" s="483"/>
      <c r="Q196" s="482"/>
      <c r="R196" s="1"/>
      <c r="S196" s="484"/>
      <c r="T196" s="1"/>
      <c r="U196" s="484"/>
      <c r="V196" s="1"/>
      <c r="W196" s="484"/>
      <c r="X196" s="1"/>
      <c r="Y196" s="484"/>
      <c r="Z196" s="1"/>
      <c r="AA196" s="1"/>
      <c r="AB196" s="1"/>
      <c r="AC196" s="1"/>
      <c r="AD196" s="482"/>
      <c r="AE196" s="485"/>
      <c r="AF196" s="486"/>
      <c r="AG196" s="487"/>
      <c r="AH196" s="487"/>
      <c r="AI196" s="488"/>
      <c r="AJ196" s="489"/>
      <c r="AK196" s="648"/>
      <c r="AL196" s="648"/>
      <c r="AM196" s="648"/>
      <c r="AN196" s="648"/>
      <c r="AO196" s="648"/>
      <c r="AP196" s="648"/>
      <c r="AQ196" s="658"/>
      <c r="AR196" s="648"/>
      <c r="AS196" s="658"/>
      <c r="AT196" s="658"/>
      <c r="AU196" s="658"/>
      <c r="AV196" s="658"/>
      <c r="AW196" s="658"/>
      <c r="AX196" s="658"/>
      <c r="AY196" s="658"/>
      <c r="AZ196" s="658"/>
      <c r="BA196" s="658"/>
      <c r="BB196" s="658"/>
      <c r="BC196" s="668"/>
      <c r="BD196" s="658"/>
      <c r="BE196" s="658"/>
      <c r="BF196" s="658"/>
      <c r="BG196" s="658"/>
      <c r="BH196" s="676"/>
      <c r="BI196" s="658"/>
      <c r="BJ196" s="658"/>
      <c r="BK196" s="658"/>
      <c r="BL196" s="658"/>
      <c r="BM196" s="658"/>
      <c r="BN196" s="658"/>
      <c r="BO196" s="675"/>
    </row>
    <row r="197" spans="1:67" s="494" customFormat="1">
      <c r="A197" s="44"/>
      <c r="B197" s="479"/>
      <c r="C197" s="479"/>
      <c r="D197" s="479"/>
      <c r="E197" s="479"/>
      <c r="F197" s="479"/>
      <c r="G197" s="44"/>
      <c r="H197" s="44"/>
      <c r="I197" s="480"/>
      <c r="J197" s="44"/>
      <c r="K197" s="1"/>
      <c r="L197" s="44"/>
      <c r="M197" s="481"/>
      <c r="N197" s="482"/>
      <c r="O197" s="100"/>
      <c r="P197" s="483"/>
      <c r="Q197" s="482"/>
      <c r="R197" s="1"/>
      <c r="S197" s="484"/>
      <c r="T197" s="1"/>
      <c r="U197" s="484"/>
      <c r="V197" s="1"/>
      <c r="W197" s="484"/>
      <c r="X197" s="1"/>
      <c r="Y197" s="484"/>
      <c r="Z197" s="1"/>
      <c r="AA197" s="1"/>
      <c r="AB197" s="1"/>
      <c r="AC197" s="1"/>
      <c r="AD197" s="482"/>
      <c r="AE197" s="485"/>
      <c r="AF197" s="486"/>
      <c r="AG197" s="487"/>
      <c r="AH197" s="487"/>
      <c r="AI197" s="488"/>
      <c r="AJ197" s="489"/>
      <c r="AK197" s="648"/>
      <c r="AL197" s="648"/>
      <c r="AM197" s="648"/>
      <c r="AN197" s="648"/>
      <c r="AO197" s="648"/>
      <c r="AP197" s="648"/>
      <c r="AQ197" s="658"/>
      <c r="AR197" s="648"/>
      <c r="AS197" s="658"/>
      <c r="AT197" s="658"/>
      <c r="AU197" s="658"/>
      <c r="AV197" s="658"/>
      <c r="AW197" s="658"/>
      <c r="AX197" s="658"/>
      <c r="AY197" s="658"/>
      <c r="AZ197" s="658"/>
      <c r="BA197" s="658"/>
      <c r="BB197" s="658"/>
      <c r="BC197" s="668"/>
      <c r="BD197" s="658"/>
      <c r="BE197" s="658"/>
      <c r="BF197" s="658"/>
      <c r="BG197" s="658"/>
      <c r="BH197" s="676"/>
      <c r="BI197" s="658"/>
      <c r="BJ197" s="658"/>
      <c r="BK197" s="658"/>
      <c r="BL197" s="658"/>
      <c r="BM197" s="658"/>
      <c r="BN197" s="658"/>
      <c r="BO197" s="675"/>
    </row>
    <row r="198" spans="1:67" s="494" customFormat="1">
      <c r="A198" s="44"/>
      <c r="B198" s="479"/>
      <c r="C198" s="479"/>
      <c r="D198" s="479"/>
      <c r="E198" s="479"/>
      <c r="F198" s="479"/>
      <c r="G198" s="44"/>
      <c r="H198" s="44"/>
      <c r="I198" s="480"/>
      <c r="J198" s="44"/>
      <c r="K198" s="1"/>
      <c r="L198" s="44"/>
      <c r="M198" s="481"/>
      <c r="N198" s="482"/>
      <c r="O198" s="100"/>
      <c r="P198" s="483"/>
      <c r="Q198" s="482"/>
      <c r="R198" s="1"/>
      <c r="S198" s="484"/>
      <c r="T198" s="1"/>
      <c r="U198" s="484"/>
      <c r="V198" s="1"/>
      <c r="W198" s="484"/>
      <c r="X198" s="1"/>
      <c r="Y198" s="484"/>
      <c r="Z198" s="1"/>
      <c r="AA198" s="1"/>
      <c r="AB198" s="1"/>
      <c r="AC198" s="1"/>
      <c r="AD198" s="482"/>
      <c r="AE198" s="485"/>
      <c r="AF198" s="486"/>
      <c r="AG198" s="487"/>
      <c r="AH198" s="487"/>
      <c r="AI198" s="488"/>
      <c r="AJ198" s="489"/>
      <c r="AK198" s="648"/>
      <c r="AL198" s="648"/>
      <c r="AM198" s="648"/>
      <c r="AN198" s="648"/>
      <c r="AO198" s="648"/>
      <c r="AP198" s="648"/>
      <c r="AQ198" s="658"/>
      <c r="AR198" s="648"/>
      <c r="AS198" s="658"/>
      <c r="AT198" s="658"/>
      <c r="AU198" s="658"/>
      <c r="AV198" s="658"/>
      <c r="AW198" s="658"/>
      <c r="AX198" s="658"/>
      <c r="AY198" s="658"/>
      <c r="AZ198" s="658"/>
      <c r="BA198" s="658"/>
      <c r="BB198" s="658"/>
      <c r="BC198" s="668"/>
      <c r="BD198" s="658"/>
      <c r="BE198" s="658"/>
      <c r="BF198" s="658"/>
      <c r="BG198" s="658"/>
      <c r="BH198" s="676"/>
      <c r="BI198" s="658"/>
      <c r="BJ198" s="658"/>
      <c r="BK198" s="658"/>
      <c r="BL198" s="658"/>
      <c r="BM198" s="658"/>
      <c r="BN198" s="658"/>
      <c r="BO198" s="675"/>
    </row>
    <row r="199" spans="1:67" s="494" customFormat="1">
      <c r="A199" s="44"/>
      <c r="B199" s="479"/>
      <c r="C199" s="479"/>
      <c r="D199" s="479"/>
      <c r="E199" s="479"/>
      <c r="F199" s="479"/>
      <c r="G199" s="44"/>
      <c r="H199" s="44"/>
      <c r="I199" s="480"/>
      <c r="J199" s="44"/>
      <c r="K199" s="1"/>
      <c r="L199" s="44"/>
      <c r="M199" s="481"/>
      <c r="N199" s="482"/>
      <c r="O199" s="100"/>
      <c r="P199" s="483"/>
      <c r="Q199" s="482"/>
      <c r="R199" s="1"/>
      <c r="S199" s="484"/>
      <c r="T199" s="1"/>
      <c r="U199" s="484"/>
      <c r="V199" s="1"/>
      <c r="W199" s="484"/>
      <c r="X199" s="1"/>
      <c r="Y199" s="484"/>
      <c r="Z199" s="1"/>
      <c r="AA199" s="1"/>
      <c r="AB199" s="1"/>
      <c r="AC199" s="1"/>
      <c r="AD199" s="482"/>
      <c r="AE199" s="485"/>
      <c r="AF199" s="486"/>
      <c r="AG199" s="487"/>
      <c r="AH199" s="487"/>
      <c r="AI199" s="488"/>
      <c r="AJ199" s="489"/>
      <c r="AK199" s="648"/>
      <c r="AL199" s="648"/>
      <c r="AM199" s="648"/>
      <c r="AN199" s="648"/>
      <c r="AO199" s="648"/>
      <c r="AP199" s="648"/>
      <c r="AQ199" s="658"/>
      <c r="AR199" s="648"/>
      <c r="AS199" s="658"/>
      <c r="AT199" s="658"/>
      <c r="AU199" s="658"/>
      <c r="AV199" s="658"/>
      <c r="AW199" s="658"/>
      <c r="AX199" s="658"/>
      <c r="AY199" s="658"/>
      <c r="AZ199" s="658"/>
      <c r="BA199" s="658"/>
      <c r="BB199" s="658"/>
      <c r="BC199" s="668"/>
      <c r="BD199" s="658"/>
      <c r="BE199" s="658"/>
      <c r="BF199" s="658"/>
      <c r="BG199" s="658"/>
      <c r="BH199" s="676"/>
      <c r="BI199" s="658"/>
      <c r="BJ199" s="658"/>
      <c r="BK199" s="658"/>
      <c r="BL199" s="658"/>
      <c r="BM199" s="658"/>
      <c r="BN199" s="658"/>
      <c r="BO199" s="675"/>
    </row>
    <row r="200" spans="1:67" s="494" customFormat="1">
      <c r="A200" s="44"/>
      <c r="B200" s="479"/>
      <c r="C200" s="479"/>
      <c r="D200" s="479"/>
      <c r="E200" s="479"/>
      <c r="F200" s="479"/>
      <c r="G200" s="44"/>
      <c r="H200" s="44"/>
      <c r="I200" s="480"/>
      <c r="J200" s="44"/>
      <c r="K200" s="1"/>
      <c r="L200" s="44"/>
      <c r="M200" s="481"/>
      <c r="N200" s="482"/>
      <c r="O200" s="100"/>
      <c r="P200" s="483"/>
      <c r="Q200" s="482"/>
      <c r="R200" s="1"/>
      <c r="S200" s="484"/>
      <c r="T200" s="1"/>
      <c r="U200" s="484"/>
      <c r="V200" s="1"/>
      <c r="W200" s="484"/>
      <c r="X200" s="1"/>
      <c r="Y200" s="484"/>
      <c r="Z200" s="1"/>
      <c r="AA200" s="1"/>
      <c r="AB200" s="1"/>
      <c r="AC200" s="1"/>
      <c r="AD200" s="482"/>
      <c r="AE200" s="485"/>
      <c r="AF200" s="486"/>
      <c r="AG200" s="487"/>
      <c r="AH200" s="487"/>
      <c r="AI200" s="488"/>
      <c r="AJ200" s="489"/>
      <c r="AK200" s="648"/>
      <c r="AL200" s="648"/>
      <c r="AM200" s="648"/>
      <c r="AN200" s="648"/>
      <c r="AO200" s="648"/>
      <c r="AP200" s="648"/>
      <c r="AQ200" s="658"/>
      <c r="AR200" s="648"/>
      <c r="AS200" s="658"/>
      <c r="AT200" s="658"/>
      <c r="AU200" s="658"/>
      <c r="AV200" s="658"/>
      <c r="AW200" s="658"/>
      <c r="AX200" s="658"/>
      <c r="AY200" s="658"/>
      <c r="AZ200" s="658"/>
      <c r="BA200" s="658"/>
      <c r="BB200" s="658"/>
      <c r="BC200" s="668"/>
      <c r="BD200" s="658"/>
      <c r="BE200" s="658"/>
      <c r="BF200" s="658"/>
      <c r="BG200" s="658"/>
      <c r="BH200" s="676"/>
      <c r="BI200" s="658"/>
      <c r="BJ200" s="658"/>
      <c r="BK200" s="658"/>
      <c r="BL200" s="658"/>
      <c r="BM200" s="658"/>
      <c r="BN200" s="658"/>
      <c r="BO200" s="675"/>
    </row>
    <row r="201" spans="1:67" s="494" customFormat="1">
      <c r="A201" s="44"/>
      <c r="B201" s="479"/>
      <c r="C201" s="479"/>
      <c r="D201" s="479"/>
      <c r="E201" s="479"/>
      <c r="F201" s="479"/>
      <c r="G201" s="44"/>
      <c r="H201" s="44"/>
      <c r="I201" s="480"/>
      <c r="J201" s="44"/>
      <c r="K201" s="1"/>
      <c r="L201" s="44"/>
      <c r="M201" s="481"/>
      <c r="N201" s="482"/>
      <c r="O201" s="100"/>
      <c r="P201" s="483"/>
      <c r="Q201" s="482"/>
      <c r="R201" s="1"/>
      <c r="S201" s="484"/>
      <c r="T201" s="1"/>
      <c r="U201" s="484"/>
      <c r="V201" s="1"/>
      <c r="W201" s="484"/>
      <c r="X201" s="1"/>
      <c r="Y201" s="484"/>
      <c r="Z201" s="1"/>
      <c r="AA201" s="1"/>
      <c r="AB201" s="1"/>
      <c r="AC201" s="1"/>
      <c r="AD201" s="482"/>
      <c r="AE201" s="485"/>
      <c r="AF201" s="486"/>
      <c r="AG201" s="487"/>
      <c r="AH201" s="487"/>
      <c r="AI201" s="488"/>
      <c r="AJ201" s="489"/>
      <c r="AK201" s="648"/>
      <c r="AL201" s="648"/>
      <c r="AM201" s="648"/>
      <c r="AN201" s="648"/>
      <c r="AO201" s="648"/>
      <c r="AP201" s="648"/>
      <c r="AQ201" s="658"/>
      <c r="AR201" s="648"/>
      <c r="AS201" s="658"/>
      <c r="AT201" s="658"/>
      <c r="AU201" s="658"/>
      <c r="AV201" s="658"/>
      <c r="AW201" s="658"/>
      <c r="AX201" s="658"/>
      <c r="AY201" s="658"/>
      <c r="AZ201" s="658"/>
      <c r="BA201" s="658"/>
      <c r="BB201" s="658"/>
      <c r="BC201" s="668"/>
      <c r="BD201" s="658"/>
      <c r="BE201" s="658"/>
      <c r="BF201" s="658"/>
      <c r="BG201" s="658"/>
      <c r="BH201" s="676"/>
      <c r="BI201" s="658"/>
      <c r="BJ201" s="658"/>
      <c r="BK201" s="658"/>
      <c r="BL201" s="658"/>
      <c r="BM201" s="658"/>
      <c r="BN201" s="658"/>
      <c r="BO201" s="675"/>
    </row>
    <row r="202" spans="1:67" s="494" customFormat="1">
      <c r="A202" s="44"/>
      <c r="B202" s="479"/>
      <c r="C202" s="479"/>
      <c r="D202" s="479"/>
      <c r="E202" s="479"/>
      <c r="F202" s="479"/>
      <c r="G202" s="44"/>
      <c r="H202" s="44"/>
      <c r="I202" s="480"/>
      <c r="J202" s="44"/>
      <c r="K202" s="1"/>
      <c r="L202" s="44"/>
      <c r="M202" s="481"/>
      <c r="N202" s="482"/>
      <c r="O202" s="100"/>
      <c r="P202" s="483"/>
      <c r="Q202" s="482"/>
      <c r="R202" s="1"/>
      <c r="S202" s="484"/>
      <c r="T202" s="1"/>
      <c r="U202" s="484"/>
      <c r="V202" s="1"/>
      <c r="W202" s="484"/>
      <c r="X202" s="1"/>
      <c r="Y202" s="484"/>
      <c r="Z202" s="1"/>
      <c r="AA202" s="1"/>
      <c r="AB202" s="1"/>
      <c r="AC202" s="1"/>
      <c r="AD202" s="482"/>
      <c r="AE202" s="485"/>
      <c r="AF202" s="486"/>
      <c r="AG202" s="487"/>
      <c r="AH202" s="487"/>
      <c r="AI202" s="488"/>
      <c r="AJ202" s="489"/>
      <c r="AK202" s="648"/>
      <c r="AL202" s="648"/>
      <c r="AM202" s="648"/>
      <c r="AN202" s="648"/>
      <c r="AO202" s="648"/>
      <c r="AP202" s="648"/>
      <c r="AQ202" s="658"/>
      <c r="AR202" s="648"/>
      <c r="AS202" s="658"/>
      <c r="AT202" s="658"/>
      <c r="AU202" s="658"/>
      <c r="AV202" s="658"/>
      <c r="AW202" s="658"/>
      <c r="AX202" s="658"/>
      <c r="AY202" s="658"/>
      <c r="AZ202" s="658"/>
      <c r="BA202" s="658"/>
      <c r="BB202" s="658"/>
      <c r="BC202" s="668"/>
      <c r="BD202" s="658"/>
      <c r="BE202" s="658"/>
      <c r="BF202" s="658"/>
      <c r="BG202" s="658"/>
      <c r="BH202" s="676"/>
      <c r="BI202" s="658"/>
      <c r="BJ202" s="658"/>
      <c r="BK202" s="658"/>
      <c r="BL202" s="658"/>
      <c r="BM202" s="658"/>
      <c r="BN202" s="658"/>
      <c r="BO202" s="675"/>
    </row>
    <row r="203" spans="1:67" s="494" customFormat="1">
      <c r="A203" s="44"/>
      <c r="B203" s="479"/>
      <c r="C203" s="479"/>
      <c r="D203" s="479"/>
      <c r="E203" s="479"/>
      <c r="F203" s="479"/>
      <c r="G203" s="44"/>
      <c r="H203" s="44"/>
      <c r="I203" s="480"/>
      <c r="J203" s="44"/>
      <c r="K203" s="1"/>
      <c r="L203" s="44"/>
      <c r="M203" s="481"/>
      <c r="N203" s="482"/>
      <c r="O203" s="100"/>
      <c r="P203" s="483"/>
      <c r="Q203" s="482"/>
      <c r="R203" s="1"/>
      <c r="S203" s="484"/>
      <c r="T203" s="1"/>
      <c r="U203" s="484"/>
      <c r="V203" s="1"/>
      <c r="W203" s="484"/>
      <c r="X203" s="1"/>
      <c r="Y203" s="484"/>
      <c r="Z203" s="1"/>
      <c r="AA203" s="1"/>
      <c r="AB203" s="1"/>
      <c r="AC203" s="1"/>
      <c r="AD203" s="482"/>
      <c r="AE203" s="485"/>
      <c r="AF203" s="486"/>
      <c r="AG203" s="487"/>
      <c r="AH203" s="487"/>
      <c r="AI203" s="488"/>
      <c r="AJ203" s="489"/>
      <c r="AK203" s="648"/>
      <c r="AL203" s="648"/>
      <c r="AM203" s="648"/>
      <c r="AN203" s="648"/>
      <c r="AO203" s="648"/>
      <c r="AP203" s="648"/>
      <c r="AQ203" s="658"/>
      <c r="AR203" s="648"/>
      <c r="AS203" s="658"/>
      <c r="AT203" s="658"/>
      <c r="AU203" s="658"/>
      <c r="AV203" s="658"/>
      <c r="AW203" s="658"/>
      <c r="AX203" s="658"/>
      <c r="AY203" s="658"/>
      <c r="AZ203" s="658"/>
      <c r="BA203" s="658"/>
      <c r="BB203" s="658"/>
      <c r="BC203" s="668"/>
      <c r="BD203" s="658"/>
      <c r="BE203" s="658"/>
      <c r="BF203" s="658"/>
      <c r="BG203" s="658"/>
      <c r="BH203" s="676"/>
      <c r="BI203" s="658"/>
      <c r="BJ203" s="658"/>
      <c r="BK203" s="658"/>
      <c r="BL203" s="658"/>
      <c r="BM203" s="658"/>
      <c r="BN203" s="658"/>
      <c r="BO203" s="675"/>
    </row>
    <row r="204" spans="1:67" s="494" customFormat="1">
      <c r="A204" s="44"/>
      <c r="B204" s="479"/>
      <c r="C204" s="479"/>
      <c r="D204" s="479"/>
      <c r="E204" s="479"/>
      <c r="F204" s="479"/>
      <c r="G204" s="44"/>
      <c r="H204" s="44"/>
      <c r="I204" s="480"/>
      <c r="J204" s="44"/>
      <c r="K204" s="1"/>
      <c r="L204" s="44"/>
      <c r="M204" s="481"/>
      <c r="N204" s="482"/>
      <c r="O204" s="100"/>
      <c r="P204" s="483"/>
      <c r="Q204" s="482"/>
      <c r="R204" s="1"/>
      <c r="S204" s="484"/>
      <c r="T204" s="1"/>
      <c r="U204" s="484"/>
      <c r="V204" s="1"/>
      <c r="W204" s="484"/>
      <c r="X204" s="1"/>
      <c r="Y204" s="484"/>
      <c r="Z204" s="1"/>
      <c r="AA204" s="1"/>
      <c r="AB204" s="1"/>
      <c r="AC204" s="1"/>
      <c r="AD204" s="482"/>
      <c r="AE204" s="485"/>
      <c r="AF204" s="486"/>
      <c r="AG204" s="487"/>
      <c r="AH204" s="487"/>
      <c r="AI204" s="488"/>
      <c r="AJ204" s="489"/>
      <c r="AK204" s="648"/>
      <c r="AL204" s="648"/>
      <c r="AM204" s="648"/>
      <c r="AN204" s="648"/>
      <c r="AO204" s="648"/>
      <c r="AP204" s="648"/>
      <c r="AQ204" s="658"/>
      <c r="AR204" s="648"/>
      <c r="AS204" s="658"/>
      <c r="AT204" s="658"/>
      <c r="AU204" s="658"/>
      <c r="AV204" s="658"/>
      <c r="AW204" s="658"/>
      <c r="AX204" s="658"/>
      <c r="AY204" s="658"/>
      <c r="AZ204" s="658"/>
      <c r="BA204" s="658"/>
      <c r="BB204" s="658"/>
      <c r="BC204" s="668"/>
      <c r="BD204" s="658"/>
      <c r="BE204" s="658"/>
      <c r="BF204" s="658"/>
      <c r="BG204" s="658"/>
      <c r="BH204" s="676"/>
      <c r="BI204" s="658"/>
      <c r="BJ204" s="658"/>
      <c r="BK204" s="658"/>
      <c r="BL204" s="658"/>
      <c r="BM204" s="658"/>
      <c r="BN204" s="658"/>
      <c r="BO204" s="675"/>
    </row>
    <row r="205" spans="1:67" s="494" customFormat="1">
      <c r="A205" s="44"/>
      <c r="B205" s="479"/>
      <c r="C205" s="479"/>
      <c r="D205" s="479"/>
      <c r="E205" s="479"/>
      <c r="F205" s="479"/>
      <c r="G205" s="44"/>
      <c r="H205" s="44"/>
      <c r="I205" s="480"/>
      <c r="J205" s="44"/>
      <c r="K205" s="1"/>
      <c r="L205" s="44"/>
      <c r="M205" s="481"/>
      <c r="N205" s="482"/>
      <c r="O205" s="100"/>
      <c r="P205" s="483"/>
      <c r="Q205" s="482"/>
      <c r="R205" s="1"/>
      <c r="S205" s="484"/>
      <c r="T205" s="1"/>
      <c r="U205" s="484"/>
      <c r="V205" s="1"/>
      <c r="W205" s="484"/>
      <c r="X205" s="1"/>
      <c r="Y205" s="484"/>
      <c r="Z205" s="1"/>
      <c r="AA205" s="1"/>
      <c r="AB205" s="1"/>
      <c r="AC205" s="1"/>
      <c r="AD205" s="482"/>
      <c r="AE205" s="485"/>
      <c r="AF205" s="486"/>
      <c r="AG205" s="487"/>
      <c r="AH205" s="487"/>
      <c r="AI205" s="488"/>
      <c r="AJ205" s="489"/>
      <c r="AK205" s="648"/>
      <c r="AL205" s="648"/>
      <c r="AM205" s="648"/>
      <c r="AN205" s="648"/>
      <c r="AO205" s="648"/>
      <c r="AP205" s="648"/>
      <c r="AQ205" s="658"/>
      <c r="AR205" s="648"/>
      <c r="AS205" s="658"/>
      <c r="AT205" s="658"/>
      <c r="AU205" s="658"/>
      <c r="AV205" s="658"/>
      <c r="AW205" s="658"/>
      <c r="AX205" s="658"/>
      <c r="AY205" s="658"/>
      <c r="AZ205" s="658"/>
      <c r="BA205" s="658"/>
      <c r="BB205" s="658"/>
      <c r="BC205" s="668"/>
      <c r="BD205" s="658"/>
      <c r="BE205" s="658"/>
      <c r="BF205" s="658"/>
      <c r="BG205" s="658"/>
      <c r="BH205" s="676"/>
      <c r="BI205" s="658"/>
      <c r="BJ205" s="658"/>
      <c r="BK205" s="658"/>
      <c r="BL205" s="658"/>
      <c r="BM205" s="658"/>
      <c r="BN205" s="658"/>
      <c r="BO205" s="675"/>
    </row>
    <row r="206" spans="1:67" s="494" customFormat="1">
      <c r="A206" s="44"/>
      <c r="B206" s="479"/>
      <c r="C206" s="479"/>
      <c r="D206" s="479"/>
      <c r="E206" s="479"/>
      <c r="F206" s="479"/>
      <c r="G206" s="44"/>
      <c r="H206" s="44"/>
      <c r="I206" s="480"/>
      <c r="J206" s="44"/>
      <c r="K206" s="1"/>
      <c r="L206" s="44"/>
      <c r="M206" s="481"/>
      <c r="N206" s="482"/>
      <c r="O206" s="100"/>
      <c r="P206" s="483"/>
      <c r="Q206" s="482"/>
      <c r="R206" s="1"/>
      <c r="S206" s="484"/>
      <c r="T206" s="1"/>
      <c r="U206" s="484"/>
      <c r="V206" s="1"/>
      <c r="W206" s="484"/>
      <c r="X206" s="1"/>
      <c r="Y206" s="484"/>
      <c r="Z206" s="1"/>
      <c r="AA206" s="1"/>
      <c r="AB206" s="1"/>
      <c r="AC206" s="1"/>
      <c r="AD206" s="482"/>
      <c r="AE206" s="485"/>
      <c r="AF206" s="486"/>
      <c r="AG206" s="487"/>
      <c r="AH206" s="487"/>
      <c r="AI206" s="488"/>
      <c r="AJ206" s="489"/>
      <c r="AK206" s="648"/>
      <c r="AL206" s="648"/>
      <c r="AM206" s="648"/>
      <c r="AN206" s="648"/>
      <c r="AO206" s="648"/>
      <c r="AP206" s="648"/>
      <c r="AQ206" s="658"/>
      <c r="AR206" s="648"/>
      <c r="AS206" s="658"/>
      <c r="AT206" s="658"/>
      <c r="AU206" s="658"/>
      <c r="AV206" s="658"/>
      <c r="AW206" s="658"/>
      <c r="AX206" s="658"/>
      <c r="AY206" s="658"/>
      <c r="AZ206" s="658"/>
      <c r="BA206" s="658"/>
      <c r="BB206" s="658"/>
      <c r="BC206" s="668"/>
      <c r="BD206" s="658"/>
      <c r="BE206" s="658"/>
      <c r="BF206" s="658"/>
      <c r="BG206" s="658"/>
      <c r="BH206" s="676"/>
      <c r="BI206" s="658"/>
      <c r="BJ206" s="658"/>
      <c r="BK206" s="658"/>
      <c r="BL206" s="658"/>
      <c r="BM206" s="658"/>
      <c r="BN206" s="658"/>
      <c r="BO206" s="675"/>
    </row>
    <row r="207" spans="1:67" s="494" customFormat="1">
      <c r="A207" s="44"/>
      <c r="B207" s="479"/>
      <c r="C207" s="479"/>
      <c r="D207" s="479"/>
      <c r="E207" s="479"/>
      <c r="F207" s="479"/>
      <c r="G207" s="44"/>
      <c r="H207" s="44"/>
      <c r="I207" s="480"/>
      <c r="J207" s="44"/>
      <c r="K207" s="1"/>
      <c r="L207" s="44"/>
      <c r="M207" s="481"/>
      <c r="N207" s="482"/>
      <c r="O207" s="100"/>
      <c r="P207" s="483"/>
      <c r="Q207" s="482"/>
      <c r="R207" s="1"/>
      <c r="S207" s="484"/>
      <c r="T207" s="1"/>
      <c r="U207" s="484"/>
      <c r="V207" s="1"/>
      <c r="W207" s="484"/>
      <c r="X207" s="1"/>
      <c r="Y207" s="484"/>
      <c r="Z207" s="1"/>
      <c r="AA207" s="1"/>
      <c r="AB207" s="1"/>
      <c r="AC207" s="1"/>
      <c r="AD207" s="482"/>
      <c r="AE207" s="485"/>
      <c r="AF207" s="486"/>
      <c r="AG207" s="487"/>
      <c r="AH207" s="487"/>
      <c r="AI207" s="488"/>
      <c r="AJ207" s="489"/>
      <c r="AK207" s="648"/>
      <c r="AL207" s="648"/>
      <c r="AM207" s="648"/>
      <c r="AN207" s="648"/>
      <c r="AO207" s="648"/>
      <c r="AP207" s="648"/>
      <c r="AQ207" s="658"/>
      <c r="AR207" s="648"/>
      <c r="AS207" s="658"/>
      <c r="AT207" s="658"/>
      <c r="AU207" s="658"/>
      <c r="AV207" s="658"/>
      <c r="AW207" s="658"/>
      <c r="AX207" s="658"/>
      <c r="AY207" s="658"/>
      <c r="AZ207" s="658"/>
      <c r="BA207" s="658"/>
      <c r="BB207" s="658"/>
      <c r="BC207" s="668"/>
      <c r="BD207" s="658"/>
      <c r="BE207" s="658"/>
      <c r="BF207" s="658"/>
      <c r="BG207" s="658"/>
      <c r="BH207" s="676"/>
      <c r="BI207" s="658"/>
      <c r="BJ207" s="658"/>
      <c r="BK207" s="658"/>
      <c r="BL207" s="658"/>
      <c r="BM207" s="658"/>
      <c r="BN207" s="658"/>
      <c r="BO207" s="675"/>
    </row>
    <row r="208" spans="1:67" s="494" customFormat="1">
      <c r="A208" s="44"/>
      <c r="B208" s="479"/>
      <c r="C208" s="479"/>
      <c r="D208" s="479"/>
      <c r="E208" s="479"/>
      <c r="F208" s="479"/>
      <c r="G208" s="44"/>
      <c r="H208" s="44"/>
      <c r="I208" s="480"/>
      <c r="J208" s="44"/>
      <c r="K208" s="1"/>
      <c r="L208" s="44"/>
      <c r="M208" s="481"/>
      <c r="N208" s="482"/>
      <c r="O208" s="100"/>
      <c r="P208" s="483"/>
      <c r="Q208" s="482"/>
      <c r="R208" s="1"/>
      <c r="S208" s="484"/>
      <c r="T208" s="1"/>
      <c r="U208" s="484"/>
      <c r="V208" s="1"/>
      <c r="W208" s="484"/>
      <c r="X208" s="1"/>
      <c r="Y208" s="484"/>
      <c r="Z208" s="1"/>
      <c r="AA208" s="1"/>
      <c r="AB208" s="1"/>
      <c r="AC208" s="1"/>
      <c r="AD208" s="482"/>
      <c r="AE208" s="485"/>
      <c r="AF208" s="486"/>
      <c r="AG208" s="487"/>
      <c r="AH208" s="487"/>
      <c r="AI208" s="488"/>
      <c r="AJ208" s="489"/>
      <c r="AK208" s="648"/>
      <c r="AL208" s="648"/>
      <c r="AM208" s="648"/>
      <c r="AN208" s="648"/>
      <c r="AO208" s="648"/>
      <c r="AP208" s="648"/>
      <c r="AQ208" s="658"/>
      <c r="AR208" s="648"/>
      <c r="AS208" s="658"/>
      <c r="AT208" s="658"/>
      <c r="AU208" s="658"/>
      <c r="AV208" s="658"/>
      <c r="AW208" s="658"/>
      <c r="AX208" s="658"/>
      <c r="AY208" s="658"/>
      <c r="AZ208" s="658"/>
      <c r="BA208" s="658"/>
      <c r="BB208" s="658"/>
      <c r="BC208" s="668"/>
      <c r="BD208" s="658"/>
      <c r="BE208" s="658"/>
      <c r="BF208" s="658"/>
      <c r="BG208" s="658"/>
      <c r="BH208" s="676"/>
      <c r="BI208" s="658"/>
      <c r="BJ208" s="658"/>
      <c r="BK208" s="658"/>
      <c r="BL208" s="658"/>
      <c r="BM208" s="658"/>
      <c r="BN208" s="658"/>
      <c r="BO208" s="675"/>
    </row>
    <row r="209" spans="1:67" s="494" customFormat="1">
      <c r="A209" s="44"/>
      <c r="B209" s="479"/>
      <c r="C209" s="479"/>
      <c r="D209" s="479"/>
      <c r="E209" s="479"/>
      <c r="F209" s="479"/>
      <c r="G209" s="44"/>
      <c r="H209" s="44"/>
      <c r="I209" s="480"/>
      <c r="J209" s="44"/>
      <c r="K209" s="1"/>
      <c r="L209" s="44"/>
      <c r="M209" s="481"/>
      <c r="N209" s="482"/>
      <c r="O209" s="100"/>
      <c r="P209" s="483"/>
      <c r="Q209" s="482"/>
      <c r="R209" s="1"/>
      <c r="S209" s="484"/>
      <c r="T209" s="1"/>
      <c r="U209" s="484"/>
      <c r="V209" s="1"/>
      <c r="W209" s="484"/>
      <c r="X209" s="1"/>
      <c r="Y209" s="484"/>
      <c r="Z209" s="1"/>
      <c r="AA209" s="1"/>
      <c r="AB209" s="1"/>
      <c r="AC209" s="1"/>
      <c r="AD209" s="482"/>
      <c r="AE209" s="485"/>
      <c r="AF209" s="486"/>
      <c r="AG209" s="487"/>
      <c r="AH209" s="487"/>
      <c r="AI209" s="488"/>
      <c r="AJ209" s="489"/>
      <c r="AK209" s="648"/>
      <c r="AL209" s="648"/>
      <c r="AM209" s="648"/>
      <c r="AN209" s="648"/>
      <c r="AO209" s="648"/>
      <c r="AP209" s="648"/>
      <c r="AQ209" s="658"/>
      <c r="AR209" s="648"/>
      <c r="AS209" s="658"/>
      <c r="AT209" s="658"/>
      <c r="AU209" s="658"/>
      <c r="AV209" s="658"/>
      <c r="AW209" s="658"/>
      <c r="AX209" s="658"/>
      <c r="AY209" s="658"/>
      <c r="AZ209" s="658"/>
      <c r="BA209" s="658"/>
      <c r="BB209" s="658"/>
      <c r="BC209" s="668"/>
      <c r="BD209" s="658"/>
      <c r="BE209" s="658"/>
      <c r="BF209" s="658"/>
      <c r="BG209" s="658"/>
      <c r="BH209" s="676"/>
      <c r="BI209" s="658"/>
      <c r="BJ209" s="658"/>
      <c r="BK209" s="658"/>
      <c r="BL209" s="658"/>
      <c r="BM209" s="658"/>
      <c r="BN209" s="658"/>
      <c r="BO209" s="675"/>
    </row>
    <row r="210" spans="1:67" s="494" customFormat="1">
      <c r="A210" s="44"/>
      <c r="B210" s="479"/>
      <c r="C210" s="479"/>
      <c r="D210" s="479"/>
      <c r="E210" s="479"/>
      <c r="F210" s="479"/>
      <c r="G210" s="44"/>
      <c r="H210" s="44"/>
      <c r="I210" s="480"/>
      <c r="J210" s="44"/>
      <c r="K210" s="1"/>
      <c r="L210" s="44"/>
      <c r="M210" s="481"/>
      <c r="N210" s="482"/>
      <c r="O210" s="100"/>
      <c r="P210" s="483"/>
      <c r="Q210" s="482"/>
      <c r="R210" s="1"/>
      <c r="S210" s="484"/>
      <c r="T210" s="1"/>
      <c r="U210" s="484"/>
      <c r="V210" s="1"/>
      <c r="W210" s="484"/>
      <c r="X210" s="1"/>
      <c r="Y210" s="484"/>
      <c r="Z210" s="1"/>
      <c r="AA210" s="1"/>
      <c r="AB210" s="1"/>
      <c r="AC210" s="1"/>
      <c r="AD210" s="482"/>
      <c r="AE210" s="485"/>
      <c r="AF210" s="486"/>
      <c r="AG210" s="487"/>
      <c r="AH210" s="487"/>
      <c r="AI210" s="488"/>
      <c r="AJ210" s="489"/>
      <c r="AK210" s="648"/>
      <c r="AL210" s="648"/>
      <c r="AM210" s="648"/>
      <c r="AN210" s="648"/>
      <c r="AO210" s="648"/>
      <c r="AP210" s="648"/>
      <c r="AQ210" s="658"/>
      <c r="AR210" s="648"/>
      <c r="AS210" s="658"/>
      <c r="AT210" s="658"/>
      <c r="AU210" s="658"/>
      <c r="AV210" s="658"/>
      <c r="AW210" s="658"/>
      <c r="AX210" s="658"/>
      <c r="AY210" s="658"/>
      <c r="AZ210" s="658"/>
      <c r="BA210" s="658"/>
      <c r="BB210" s="658"/>
      <c r="BC210" s="668"/>
      <c r="BD210" s="658"/>
      <c r="BE210" s="658"/>
      <c r="BF210" s="658"/>
      <c r="BG210" s="658"/>
      <c r="BH210" s="676"/>
      <c r="BI210" s="658"/>
      <c r="BJ210" s="658"/>
      <c r="BK210" s="658"/>
      <c r="BL210" s="658"/>
      <c r="BM210" s="658"/>
      <c r="BN210" s="658"/>
      <c r="BO210" s="675"/>
    </row>
    <row r="211" spans="1:67" s="494" customFormat="1">
      <c r="A211" s="44"/>
      <c r="B211" s="479"/>
      <c r="C211" s="479"/>
      <c r="D211" s="479"/>
      <c r="E211" s="479"/>
      <c r="F211" s="479"/>
      <c r="G211" s="44"/>
      <c r="H211" s="44"/>
      <c r="I211" s="480"/>
      <c r="J211" s="44"/>
      <c r="K211" s="1"/>
      <c r="L211" s="44"/>
      <c r="M211" s="481"/>
      <c r="N211" s="482"/>
      <c r="O211" s="100"/>
      <c r="P211" s="483"/>
      <c r="Q211" s="482"/>
      <c r="R211" s="1"/>
      <c r="S211" s="484"/>
      <c r="T211" s="1"/>
      <c r="U211" s="484"/>
      <c r="V211" s="1"/>
      <c r="W211" s="484"/>
      <c r="X211" s="1"/>
      <c r="Y211" s="484"/>
      <c r="Z211" s="1"/>
      <c r="AA211" s="1"/>
      <c r="AB211" s="1"/>
      <c r="AC211" s="1"/>
      <c r="AD211" s="482"/>
      <c r="AE211" s="485"/>
      <c r="AF211" s="486"/>
      <c r="AG211" s="487"/>
      <c r="AH211" s="487"/>
      <c r="AI211" s="488"/>
      <c r="AJ211" s="489"/>
      <c r="AK211" s="648"/>
      <c r="AL211" s="648"/>
      <c r="AM211" s="648"/>
      <c r="AN211" s="648"/>
      <c r="AO211" s="648"/>
      <c r="AP211" s="648"/>
      <c r="AQ211" s="658"/>
      <c r="AR211" s="648"/>
      <c r="AS211" s="658"/>
      <c r="AT211" s="658"/>
      <c r="AU211" s="658"/>
      <c r="AV211" s="658"/>
      <c r="AW211" s="658"/>
      <c r="AX211" s="658"/>
      <c r="AY211" s="658"/>
      <c r="AZ211" s="658"/>
      <c r="BA211" s="658"/>
      <c r="BB211" s="658"/>
      <c r="BC211" s="668"/>
      <c r="BD211" s="658"/>
      <c r="BE211" s="658"/>
      <c r="BF211" s="658"/>
      <c r="BG211" s="658"/>
      <c r="BH211" s="676"/>
      <c r="BI211" s="658"/>
      <c r="BJ211" s="658"/>
      <c r="BK211" s="658"/>
      <c r="BL211" s="658"/>
      <c r="BM211" s="658"/>
      <c r="BN211" s="658"/>
      <c r="BO211" s="675"/>
    </row>
    <row r="212" spans="1:67" s="494" customFormat="1">
      <c r="A212" s="44"/>
      <c r="B212" s="479"/>
      <c r="C212" s="479"/>
      <c r="D212" s="479"/>
      <c r="E212" s="479"/>
      <c r="F212" s="479"/>
      <c r="G212" s="44"/>
      <c r="H212" s="44"/>
      <c r="I212" s="480"/>
      <c r="J212" s="44"/>
      <c r="K212" s="1"/>
      <c r="L212" s="44"/>
      <c r="M212" s="481"/>
      <c r="N212" s="482"/>
      <c r="O212" s="100"/>
      <c r="P212" s="483"/>
      <c r="Q212" s="482"/>
      <c r="R212" s="1"/>
      <c r="S212" s="484"/>
      <c r="T212" s="1"/>
      <c r="U212" s="484"/>
      <c r="V212" s="1"/>
      <c r="W212" s="484"/>
      <c r="X212" s="1"/>
      <c r="Y212" s="484"/>
      <c r="Z212" s="1"/>
      <c r="AA212" s="1"/>
      <c r="AB212" s="1"/>
      <c r="AC212" s="1"/>
      <c r="AD212" s="482"/>
      <c r="AE212" s="485"/>
      <c r="AF212" s="486"/>
      <c r="AG212" s="487"/>
      <c r="AH212" s="487"/>
      <c r="AI212" s="488"/>
      <c r="AJ212" s="489"/>
      <c r="AK212" s="648"/>
      <c r="AL212" s="648"/>
      <c r="AM212" s="648"/>
      <c r="AN212" s="648"/>
      <c r="AO212" s="648"/>
      <c r="AP212" s="648"/>
      <c r="AQ212" s="658"/>
      <c r="AR212" s="648"/>
      <c r="AS212" s="658"/>
      <c r="AT212" s="658"/>
      <c r="AU212" s="658"/>
      <c r="AV212" s="658"/>
      <c r="AW212" s="658"/>
      <c r="AX212" s="658"/>
      <c r="AY212" s="658"/>
      <c r="AZ212" s="658"/>
      <c r="BA212" s="658"/>
      <c r="BB212" s="658"/>
      <c r="BC212" s="668"/>
      <c r="BD212" s="658"/>
      <c r="BE212" s="658"/>
      <c r="BF212" s="658"/>
      <c r="BG212" s="658"/>
      <c r="BH212" s="676"/>
      <c r="BI212" s="658"/>
      <c r="BJ212" s="658"/>
      <c r="BK212" s="658"/>
      <c r="BL212" s="658"/>
      <c r="BM212" s="658"/>
      <c r="BN212" s="658"/>
      <c r="BO212" s="675"/>
    </row>
    <row r="213" spans="1:67" s="494" customFormat="1">
      <c r="A213" s="44"/>
      <c r="B213" s="479"/>
      <c r="C213" s="479"/>
      <c r="D213" s="479"/>
      <c r="E213" s="479"/>
      <c r="F213" s="479"/>
      <c r="G213" s="44"/>
      <c r="H213" s="44"/>
      <c r="I213" s="480"/>
      <c r="J213" s="44"/>
      <c r="K213" s="1"/>
      <c r="L213" s="44"/>
      <c r="M213" s="481"/>
      <c r="N213" s="482"/>
      <c r="O213" s="100"/>
      <c r="P213" s="483"/>
      <c r="Q213" s="482"/>
      <c r="R213" s="1"/>
      <c r="S213" s="484"/>
      <c r="T213" s="1"/>
      <c r="U213" s="484"/>
      <c r="V213" s="1"/>
      <c r="W213" s="484"/>
      <c r="X213" s="1"/>
      <c r="Y213" s="484"/>
      <c r="Z213" s="1"/>
      <c r="AA213" s="1"/>
      <c r="AB213" s="1"/>
      <c r="AC213" s="1"/>
      <c r="AD213" s="482"/>
      <c r="AE213" s="485"/>
      <c r="AF213" s="486"/>
      <c r="AG213" s="487"/>
      <c r="AH213" s="487"/>
      <c r="AI213" s="488"/>
      <c r="AJ213" s="489"/>
      <c r="AK213" s="648"/>
      <c r="AL213" s="648"/>
      <c r="AM213" s="648"/>
      <c r="AN213" s="648"/>
      <c r="AO213" s="648"/>
      <c r="AP213" s="648"/>
      <c r="AQ213" s="658"/>
      <c r="AR213" s="648"/>
      <c r="AS213" s="658"/>
      <c r="AT213" s="658"/>
      <c r="AU213" s="658"/>
      <c r="AV213" s="658"/>
      <c r="AW213" s="658"/>
      <c r="AX213" s="658"/>
      <c r="AY213" s="658"/>
      <c r="AZ213" s="658"/>
      <c r="BA213" s="658"/>
      <c r="BB213" s="658"/>
      <c r="BC213" s="668"/>
      <c r="BD213" s="658"/>
      <c r="BE213" s="658"/>
      <c r="BF213" s="658"/>
      <c r="BG213" s="658"/>
      <c r="BH213" s="676"/>
      <c r="BI213" s="658"/>
      <c r="BJ213" s="658"/>
      <c r="BK213" s="658"/>
      <c r="BL213" s="658"/>
      <c r="BM213" s="658"/>
      <c r="BN213" s="658"/>
      <c r="BO213" s="675"/>
    </row>
    <row r="214" spans="1:67" s="494" customFormat="1">
      <c r="A214" s="44"/>
      <c r="B214" s="479"/>
      <c r="C214" s="479"/>
      <c r="D214" s="479"/>
      <c r="E214" s="479"/>
      <c r="F214" s="479"/>
      <c r="G214" s="44"/>
      <c r="H214" s="44"/>
      <c r="I214" s="480"/>
      <c r="J214" s="44"/>
      <c r="K214" s="1"/>
      <c r="L214" s="44"/>
      <c r="M214" s="481"/>
      <c r="N214" s="482"/>
      <c r="O214" s="100"/>
      <c r="P214" s="483"/>
      <c r="Q214" s="482"/>
      <c r="R214" s="1"/>
      <c r="S214" s="484"/>
      <c r="T214" s="1"/>
      <c r="U214" s="484"/>
      <c r="V214" s="1"/>
      <c r="W214" s="484"/>
      <c r="X214" s="1"/>
      <c r="Y214" s="484"/>
      <c r="Z214" s="1"/>
      <c r="AA214" s="1"/>
      <c r="AB214" s="1"/>
      <c r="AC214" s="1"/>
      <c r="AD214" s="482"/>
      <c r="AE214" s="485"/>
      <c r="AF214" s="486"/>
      <c r="AG214" s="487"/>
      <c r="AH214" s="487"/>
      <c r="AI214" s="488"/>
      <c r="AJ214" s="489"/>
      <c r="AK214" s="648"/>
      <c r="AL214" s="648"/>
      <c r="AM214" s="648"/>
      <c r="AN214" s="648"/>
      <c r="AO214" s="648"/>
      <c r="AP214" s="648"/>
      <c r="AQ214" s="658"/>
      <c r="AR214" s="648"/>
      <c r="AS214" s="658"/>
      <c r="AT214" s="658"/>
      <c r="AU214" s="658"/>
      <c r="AV214" s="658"/>
      <c r="AW214" s="658"/>
      <c r="AX214" s="658"/>
      <c r="AY214" s="658"/>
      <c r="AZ214" s="658"/>
      <c r="BA214" s="658"/>
      <c r="BB214" s="658"/>
      <c r="BC214" s="668"/>
      <c r="BD214" s="658"/>
      <c r="BE214" s="658"/>
      <c r="BF214" s="658"/>
      <c r="BG214" s="658"/>
      <c r="BH214" s="676"/>
      <c r="BI214" s="658"/>
      <c r="BJ214" s="658"/>
      <c r="BK214" s="658"/>
      <c r="BL214" s="658"/>
      <c r="BM214" s="658"/>
      <c r="BN214" s="658"/>
      <c r="BO214" s="675"/>
    </row>
    <row r="215" spans="1:67" s="494" customFormat="1">
      <c r="A215" s="44"/>
      <c r="B215" s="479"/>
      <c r="C215" s="479"/>
      <c r="D215" s="479"/>
      <c r="E215" s="479"/>
      <c r="F215" s="479"/>
      <c r="G215" s="44"/>
      <c r="H215" s="44"/>
      <c r="I215" s="480"/>
      <c r="J215" s="44"/>
      <c r="K215" s="1"/>
      <c r="L215" s="44"/>
      <c r="M215" s="481"/>
      <c r="N215" s="482"/>
      <c r="O215" s="100"/>
      <c r="P215" s="483"/>
      <c r="Q215" s="482"/>
      <c r="R215" s="1"/>
      <c r="S215" s="484"/>
      <c r="T215" s="1"/>
      <c r="U215" s="484"/>
      <c r="V215" s="1"/>
      <c r="W215" s="484"/>
      <c r="X215" s="1"/>
      <c r="Y215" s="484"/>
      <c r="Z215" s="1"/>
      <c r="AA215" s="1"/>
      <c r="AB215" s="1"/>
      <c r="AC215" s="1"/>
      <c r="AD215" s="482"/>
      <c r="AE215" s="485"/>
      <c r="AF215" s="486"/>
      <c r="AG215" s="487"/>
      <c r="AH215" s="487"/>
      <c r="AI215" s="488"/>
      <c r="AJ215" s="489"/>
      <c r="AK215" s="648"/>
      <c r="AL215" s="648"/>
      <c r="AM215" s="648"/>
      <c r="AN215" s="648"/>
      <c r="AO215" s="648"/>
      <c r="AP215" s="648"/>
      <c r="AQ215" s="658"/>
      <c r="AR215" s="648"/>
      <c r="AS215" s="658"/>
      <c r="AT215" s="658"/>
      <c r="AU215" s="658"/>
      <c r="AV215" s="658"/>
      <c r="AW215" s="658"/>
      <c r="AX215" s="658"/>
      <c r="AY215" s="658"/>
      <c r="AZ215" s="658"/>
      <c r="BA215" s="658"/>
      <c r="BB215" s="658"/>
      <c r="BC215" s="668"/>
      <c r="BD215" s="658"/>
      <c r="BE215" s="658"/>
      <c r="BF215" s="658"/>
      <c r="BG215" s="658"/>
      <c r="BH215" s="676"/>
      <c r="BI215" s="658"/>
      <c r="BJ215" s="658"/>
      <c r="BK215" s="658"/>
      <c r="BL215" s="658"/>
      <c r="BM215" s="658"/>
      <c r="BN215" s="658"/>
      <c r="BO215" s="675"/>
    </row>
    <row r="216" spans="1:67" s="494" customFormat="1">
      <c r="A216" s="44"/>
      <c r="B216" s="479"/>
      <c r="C216" s="479"/>
      <c r="D216" s="479"/>
      <c r="E216" s="479"/>
      <c r="F216" s="479"/>
      <c r="G216" s="44"/>
      <c r="H216" s="44"/>
      <c r="I216" s="480"/>
      <c r="J216" s="44"/>
      <c r="K216" s="1"/>
      <c r="L216" s="44"/>
      <c r="M216" s="481"/>
      <c r="N216" s="482"/>
      <c r="O216" s="100"/>
      <c r="P216" s="483"/>
      <c r="Q216" s="482"/>
      <c r="R216" s="1"/>
      <c r="S216" s="484"/>
      <c r="T216" s="1"/>
      <c r="U216" s="484"/>
      <c r="V216" s="1"/>
      <c r="W216" s="484"/>
      <c r="X216" s="1"/>
      <c r="Y216" s="484"/>
      <c r="Z216" s="1"/>
      <c r="AA216" s="1"/>
      <c r="AB216" s="1"/>
      <c r="AC216" s="1"/>
      <c r="AD216" s="482"/>
      <c r="AE216" s="485"/>
      <c r="AF216" s="486"/>
      <c r="AG216" s="487"/>
      <c r="AH216" s="487"/>
      <c r="AI216" s="488"/>
      <c r="AJ216" s="489"/>
      <c r="AK216" s="648"/>
      <c r="AL216" s="648"/>
      <c r="AM216" s="648"/>
      <c r="AN216" s="648"/>
      <c r="AO216" s="648"/>
      <c r="AP216" s="648"/>
      <c r="AQ216" s="658"/>
      <c r="AR216" s="648"/>
      <c r="AS216" s="658"/>
      <c r="AT216" s="658"/>
      <c r="AU216" s="658"/>
      <c r="AV216" s="658"/>
      <c r="AW216" s="658"/>
      <c r="AX216" s="658"/>
      <c r="AY216" s="658"/>
      <c r="AZ216" s="658"/>
      <c r="BA216" s="658"/>
      <c r="BB216" s="658"/>
      <c r="BC216" s="668"/>
      <c r="BD216" s="658"/>
      <c r="BE216" s="658"/>
      <c r="BF216" s="658"/>
      <c r="BG216" s="658"/>
      <c r="BH216" s="676"/>
      <c r="BI216" s="658"/>
      <c r="BJ216" s="658"/>
      <c r="BK216" s="658"/>
      <c r="BL216" s="658"/>
      <c r="BM216" s="658"/>
      <c r="BN216" s="658"/>
      <c r="BO216" s="675"/>
    </row>
    <row r="217" spans="1:67" s="494" customFormat="1">
      <c r="A217" s="44"/>
      <c r="B217" s="479"/>
      <c r="C217" s="479"/>
      <c r="D217" s="479"/>
      <c r="E217" s="479"/>
      <c r="F217" s="479"/>
      <c r="G217" s="44"/>
      <c r="H217" s="44"/>
      <c r="I217" s="480"/>
      <c r="J217" s="44"/>
      <c r="K217" s="1"/>
      <c r="L217" s="44"/>
      <c r="M217" s="481"/>
      <c r="N217" s="482"/>
      <c r="O217" s="100"/>
      <c r="P217" s="483"/>
      <c r="Q217" s="482"/>
      <c r="R217" s="1"/>
      <c r="S217" s="484"/>
      <c r="T217" s="1"/>
      <c r="U217" s="484"/>
      <c r="V217" s="1"/>
      <c r="W217" s="484"/>
      <c r="X217" s="1"/>
      <c r="Y217" s="484"/>
      <c r="Z217" s="1"/>
      <c r="AA217" s="1"/>
      <c r="AB217" s="1"/>
      <c r="AC217" s="1"/>
      <c r="AD217" s="482"/>
      <c r="AE217" s="485"/>
      <c r="AF217" s="486"/>
      <c r="AG217" s="487"/>
      <c r="AH217" s="487"/>
      <c r="AI217" s="488"/>
      <c r="AJ217" s="489"/>
      <c r="AK217" s="648"/>
      <c r="AL217" s="648"/>
      <c r="AM217" s="648"/>
      <c r="AN217" s="648"/>
      <c r="AO217" s="648"/>
      <c r="AP217" s="648"/>
      <c r="AQ217" s="658"/>
      <c r="AR217" s="648"/>
      <c r="AS217" s="658"/>
      <c r="AT217" s="658"/>
      <c r="AU217" s="658"/>
      <c r="AV217" s="658"/>
      <c r="AW217" s="658"/>
      <c r="AX217" s="658"/>
      <c r="AY217" s="658"/>
      <c r="AZ217" s="658"/>
      <c r="BA217" s="658"/>
      <c r="BB217" s="658"/>
      <c r="BC217" s="668"/>
      <c r="BD217" s="658"/>
      <c r="BE217" s="658"/>
      <c r="BF217" s="658"/>
      <c r="BG217" s="658"/>
      <c r="BH217" s="676"/>
      <c r="BI217" s="658"/>
      <c r="BJ217" s="658"/>
      <c r="BK217" s="658"/>
      <c r="BL217" s="658"/>
      <c r="BM217" s="658"/>
      <c r="BN217" s="658"/>
      <c r="BO217" s="675"/>
    </row>
    <row r="218" spans="1:67" s="494" customFormat="1">
      <c r="A218" s="44"/>
      <c r="B218" s="479"/>
      <c r="C218" s="479"/>
      <c r="D218" s="479"/>
      <c r="E218" s="479"/>
      <c r="F218" s="479"/>
      <c r="G218" s="44"/>
      <c r="H218" s="44"/>
      <c r="I218" s="480"/>
      <c r="J218" s="44"/>
      <c r="K218" s="1"/>
      <c r="L218" s="44"/>
      <c r="M218" s="481"/>
      <c r="N218" s="482"/>
      <c r="O218" s="100"/>
      <c r="P218" s="483"/>
      <c r="Q218" s="482"/>
      <c r="R218" s="1"/>
      <c r="S218" s="484"/>
      <c r="T218" s="1"/>
      <c r="U218" s="484"/>
      <c r="V218" s="1"/>
      <c r="W218" s="484"/>
      <c r="X218" s="1"/>
      <c r="Y218" s="484"/>
      <c r="Z218" s="1"/>
      <c r="AA218" s="1"/>
      <c r="AB218" s="1"/>
      <c r="AC218" s="1"/>
      <c r="AD218" s="482"/>
      <c r="AE218" s="485"/>
      <c r="AF218" s="486"/>
      <c r="AG218" s="487"/>
      <c r="AH218" s="487"/>
      <c r="AI218" s="488"/>
      <c r="AJ218" s="489"/>
      <c r="AK218" s="648"/>
      <c r="AL218" s="648"/>
      <c r="AM218" s="648"/>
      <c r="AN218" s="648"/>
      <c r="AO218" s="648"/>
      <c r="AP218" s="648"/>
      <c r="AQ218" s="658"/>
      <c r="AR218" s="648"/>
      <c r="AS218" s="658"/>
      <c r="AT218" s="658"/>
      <c r="AU218" s="658"/>
      <c r="AV218" s="658"/>
      <c r="AW218" s="658"/>
      <c r="AX218" s="658"/>
      <c r="AY218" s="658"/>
      <c r="AZ218" s="658"/>
      <c r="BA218" s="658"/>
      <c r="BB218" s="658"/>
      <c r="BC218" s="668"/>
      <c r="BD218" s="658"/>
      <c r="BE218" s="658"/>
      <c r="BF218" s="658"/>
      <c r="BG218" s="658"/>
      <c r="BH218" s="676"/>
      <c r="BI218" s="658"/>
      <c r="BJ218" s="658"/>
      <c r="BK218" s="658"/>
      <c r="BL218" s="658"/>
      <c r="BM218" s="658"/>
      <c r="BN218" s="658"/>
      <c r="BO218" s="675"/>
    </row>
    <row r="219" spans="1:67" s="494" customFormat="1">
      <c r="A219" s="44"/>
      <c r="B219" s="479"/>
      <c r="C219" s="479"/>
      <c r="D219" s="479"/>
      <c r="E219" s="479"/>
      <c r="F219" s="479"/>
      <c r="G219" s="44"/>
      <c r="H219" s="44"/>
      <c r="I219" s="480"/>
      <c r="J219" s="44"/>
      <c r="K219" s="1"/>
      <c r="L219" s="44"/>
      <c r="M219" s="481"/>
      <c r="N219" s="482"/>
      <c r="O219" s="100"/>
      <c r="P219" s="483"/>
      <c r="Q219" s="482"/>
      <c r="R219" s="1"/>
      <c r="S219" s="484"/>
      <c r="T219" s="1"/>
      <c r="U219" s="484"/>
      <c r="V219" s="1"/>
      <c r="W219" s="484"/>
      <c r="X219" s="1"/>
      <c r="Y219" s="484"/>
      <c r="Z219" s="1"/>
      <c r="AA219" s="1"/>
      <c r="AB219" s="1"/>
      <c r="AC219" s="1"/>
      <c r="AD219" s="482"/>
      <c r="AE219" s="485"/>
      <c r="AF219" s="486"/>
      <c r="AG219" s="487"/>
      <c r="AH219" s="487"/>
      <c r="AI219" s="488"/>
      <c r="AJ219" s="489"/>
      <c r="AK219" s="648"/>
      <c r="AL219" s="648"/>
      <c r="AM219" s="648"/>
      <c r="AN219" s="648"/>
      <c r="AO219" s="648"/>
      <c r="AP219" s="648"/>
      <c r="AQ219" s="658"/>
      <c r="AR219" s="648"/>
      <c r="AS219" s="658"/>
      <c r="AT219" s="658"/>
      <c r="AU219" s="658"/>
      <c r="AV219" s="658"/>
      <c r="AW219" s="658"/>
      <c r="AX219" s="658"/>
      <c r="AY219" s="658"/>
      <c r="AZ219" s="658"/>
      <c r="BA219" s="658"/>
      <c r="BB219" s="658"/>
      <c r="BC219" s="668"/>
      <c r="BD219" s="658"/>
      <c r="BE219" s="658"/>
      <c r="BF219" s="658"/>
      <c r="BG219" s="658"/>
      <c r="BH219" s="676"/>
      <c r="BI219" s="658"/>
      <c r="BJ219" s="658"/>
      <c r="BK219" s="658"/>
      <c r="BL219" s="658"/>
      <c r="BM219" s="658"/>
      <c r="BN219" s="658"/>
      <c r="BO219" s="675"/>
    </row>
    <row r="220" spans="1:67" s="494" customFormat="1">
      <c r="A220" s="44"/>
      <c r="B220" s="479"/>
      <c r="C220" s="479"/>
      <c r="D220" s="479"/>
      <c r="E220" s="479"/>
      <c r="F220" s="479"/>
      <c r="G220" s="44"/>
      <c r="H220" s="44"/>
      <c r="I220" s="480"/>
      <c r="J220" s="44"/>
      <c r="K220" s="1"/>
      <c r="L220" s="44"/>
      <c r="M220" s="481"/>
      <c r="N220" s="482"/>
      <c r="O220" s="100"/>
      <c r="P220" s="483"/>
      <c r="Q220" s="482"/>
      <c r="R220" s="1"/>
      <c r="S220" s="484"/>
      <c r="T220" s="1"/>
      <c r="U220" s="484"/>
      <c r="V220" s="1"/>
      <c r="W220" s="484"/>
      <c r="X220" s="1"/>
      <c r="Y220" s="484"/>
      <c r="Z220" s="1"/>
      <c r="AA220" s="1"/>
      <c r="AB220" s="1"/>
      <c r="AC220" s="1"/>
      <c r="AD220" s="482"/>
      <c r="AE220" s="485"/>
      <c r="AF220" s="486"/>
      <c r="AG220" s="487"/>
      <c r="AH220" s="487"/>
      <c r="AI220" s="488"/>
      <c r="AJ220" s="489"/>
      <c r="AK220" s="648"/>
      <c r="AL220" s="648"/>
      <c r="AM220" s="648"/>
      <c r="AN220" s="648"/>
      <c r="AO220" s="648"/>
      <c r="AP220" s="648"/>
      <c r="AQ220" s="658"/>
      <c r="AR220" s="648"/>
      <c r="AS220" s="658"/>
      <c r="AT220" s="658"/>
      <c r="AU220" s="658"/>
      <c r="AV220" s="658"/>
      <c r="AW220" s="658"/>
      <c r="AX220" s="658"/>
      <c r="AY220" s="658"/>
      <c r="AZ220" s="658"/>
      <c r="BA220" s="658"/>
      <c r="BB220" s="658"/>
      <c r="BC220" s="668"/>
      <c r="BD220" s="658"/>
      <c r="BE220" s="658"/>
      <c r="BF220" s="658"/>
      <c r="BG220" s="658"/>
      <c r="BH220" s="676"/>
      <c r="BI220" s="658"/>
      <c r="BJ220" s="658"/>
      <c r="BK220" s="658"/>
      <c r="BL220" s="658"/>
      <c r="BM220" s="658"/>
      <c r="BN220" s="658"/>
      <c r="BO220" s="675"/>
    </row>
    <row r="221" spans="1:67" s="494" customFormat="1">
      <c r="A221" s="44"/>
      <c r="B221" s="479"/>
      <c r="C221" s="479"/>
      <c r="D221" s="479"/>
      <c r="E221" s="479"/>
      <c r="F221" s="479"/>
      <c r="G221" s="44"/>
      <c r="H221" s="44"/>
      <c r="I221" s="480"/>
      <c r="J221" s="44"/>
      <c r="K221" s="1"/>
      <c r="L221" s="44"/>
      <c r="M221" s="481"/>
      <c r="N221" s="482"/>
      <c r="O221" s="100"/>
      <c r="P221" s="483"/>
      <c r="Q221" s="482"/>
      <c r="R221" s="1"/>
      <c r="S221" s="484"/>
      <c r="T221" s="1"/>
      <c r="U221" s="484"/>
      <c r="V221" s="1"/>
      <c r="W221" s="484"/>
      <c r="X221" s="1"/>
      <c r="Y221" s="484"/>
      <c r="Z221" s="1"/>
      <c r="AA221" s="1"/>
      <c r="AB221" s="1"/>
      <c r="AC221" s="1"/>
      <c r="AD221" s="482"/>
      <c r="AE221" s="485"/>
      <c r="AF221" s="486"/>
      <c r="AG221" s="487"/>
      <c r="AH221" s="487"/>
      <c r="AI221" s="488"/>
      <c r="AJ221" s="489"/>
      <c r="AK221" s="648"/>
      <c r="AL221" s="648"/>
      <c r="AM221" s="648"/>
      <c r="AN221" s="648"/>
      <c r="AO221" s="648"/>
      <c r="AP221" s="648"/>
      <c r="AQ221" s="658"/>
      <c r="AR221" s="648"/>
      <c r="AS221" s="658"/>
      <c r="AT221" s="658"/>
      <c r="AU221" s="658"/>
      <c r="AV221" s="658"/>
      <c r="AW221" s="658"/>
      <c r="AX221" s="658"/>
      <c r="AY221" s="658"/>
      <c r="AZ221" s="658"/>
      <c r="BA221" s="658"/>
      <c r="BB221" s="658"/>
      <c r="BC221" s="668"/>
      <c r="BD221" s="658"/>
      <c r="BE221" s="658"/>
      <c r="BF221" s="658"/>
      <c r="BG221" s="658"/>
      <c r="BH221" s="676"/>
      <c r="BI221" s="658"/>
      <c r="BJ221" s="658"/>
      <c r="BK221" s="658"/>
      <c r="BL221" s="658"/>
      <c r="BM221" s="658"/>
      <c r="BN221" s="658"/>
      <c r="BO221" s="675"/>
    </row>
    <row r="222" spans="1:67" s="494" customFormat="1">
      <c r="A222" s="44"/>
      <c r="B222" s="479"/>
      <c r="C222" s="479"/>
      <c r="D222" s="479"/>
      <c r="E222" s="479"/>
      <c r="F222" s="479"/>
      <c r="G222" s="44"/>
      <c r="H222" s="44"/>
      <c r="I222" s="480"/>
      <c r="J222" s="44"/>
      <c r="K222" s="1"/>
      <c r="L222" s="44"/>
      <c r="M222" s="481"/>
      <c r="N222" s="482"/>
      <c r="O222" s="100"/>
      <c r="P222" s="483"/>
      <c r="Q222" s="482"/>
      <c r="R222" s="1"/>
      <c r="S222" s="484"/>
      <c r="T222" s="1"/>
      <c r="U222" s="484"/>
      <c r="V222" s="1"/>
      <c r="W222" s="484"/>
      <c r="X222" s="1"/>
      <c r="Y222" s="484"/>
      <c r="Z222" s="1"/>
      <c r="AA222" s="1"/>
      <c r="AB222" s="1"/>
      <c r="AC222" s="1"/>
      <c r="AD222" s="482"/>
      <c r="AE222" s="485"/>
      <c r="AF222" s="486"/>
      <c r="AG222" s="487"/>
      <c r="AH222" s="487"/>
      <c r="AI222" s="488"/>
      <c r="AJ222" s="489"/>
      <c r="AK222" s="648"/>
      <c r="AL222" s="648"/>
      <c r="AM222" s="648"/>
      <c r="AN222" s="648"/>
      <c r="AO222" s="648"/>
      <c r="AP222" s="648"/>
      <c r="AQ222" s="658"/>
      <c r="AR222" s="648"/>
      <c r="AS222" s="658"/>
      <c r="AT222" s="658"/>
      <c r="AU222" s="658"/>
      <c r="AV222" s="658"/>
      <c r="AW222" s="658"/>
      <c r="AX222" s="658"/>
      <c r="AY222" s="658"/>
      <c r="AZ222" s="658"/>
      <c r="BA222" s="658"/>
      <c r="BB222" s="658"/>
      <c r="BC222" s="668"/>
      <c r="BD222" s="658"/>
      <c r="BE222" s="658"/>
      <c r="BF222" s="658"/>
      <c r="BG222" s="658"/>
      <c r="BH222" s="676"/>
      <c r="BI222" s="658"/>
      <c r="BJ222" s="658"/>
      <c r="BK222" s="658"/>
      <c r="BL222" s="658"/>
      <c r="BM222" s="658"/>
      <c r="BN222" s="658"/>
      <c r="BO222" s="675"/>
    </row>
    <row r="223" spans="1:67" s="494" customFormat="1">
      <c r="A223" s="44"/>
      <c r="B223" s="479"/>
      <c r="C223" s="479"/>
      <c r="D223" s="479"/>
      <c r="E223" s="479"/>
      <c r="F223" s="479"/>
      <c r="G223" s="44"/>
      <c r="H223" s="44"/>
      <c r="I223" s="480"/>
      <c r="J223" s="44"/>
      <c r="K223" s="1"/>
      <c r="L223" s="44"/>
      <c r="M223" s="481"/>
      <c r="N223" s="482"/>
      <c r="O223" s="100"/>
      <c r="P223" s="483"/>
      <c r="Q223" s="482"/>
      <c r="R223" s="1"/>
      <c r="S223" s="484"/>
      <c r="T223" s="1"/>
      <c r="U223" s="484"/>
      <c r="V223" s="1"/>
      <c r="W223" s="484"/>
      <c r="X223" s="1"/>
      <c r="Y223" s="484"/>
      <c r="Z223" s="1"/>
      <c r="AA223" s="1"/>
      <c r="AB223" s="1"/>
      <c r="AC223" s="1"/>
      <c r="AD223" s="482"/>
      <c r="AE223" s="485"/>
      <c r="AF223" s="486"/>
      <c r="AG223" s="487"/>
      <c r="AH223" s="487"/>
      <c r="AI223" s="488"/>
      <c r="AJ223" s="489"/>
      <c r="AK223" s="648"/>
      <c r="AL223" s="648"/>
      <c r="AM223" s="648"/>
      <c r="AN223" s="648"/>
      <c r="AO223" s="648"/>
      <c r="AP223" s="648"/>
      <c r="AQ223" s="658"/>
      <c r="AR223" s="648"/>
      <c r="AS223" s="658"/>
      <c r="AT223" s="658"/>
      <c r="AU223" s="658"/>
      <c r="AV223" s="658"/>
      <c r="AW223" s="658"/>
      <c r="AX223" s="658"/>
      <c r="AY223" s="658"/>
      <c r="AZ223" s="658"/>
      <c r="BA223" s="658"/>
      <c r="BB223" s="658"/>
      <c r="BC223" s="668"/>
      <c r="BD223" s="658"/>
      <c r="BE223" s="658"/>
      <c r="BF223" s="658"/>
      <c r="BG223" s="658"/>
      <c r="BH223" s="676"/>
      <c r="BI223" s="658"/>
      <c r="BJ223" s="658"/>
      <c r="BK223" s="658"/>
      <c r="BL223" s="658"/>
      <c r="BM223" s="658"/>
      <c r="BN223" s="658"/>
      <c r="BO223" s="675"/>
    </row>
    <row r="224" spans="1:67" s="494" customFormat="1">
      <c r="A224" s="44"/>
      <c r="B224" s="479"/>
      <c r="C224" s="479"/>
      <c r="D224" s="479"/>
      <c r="E224" s="479"/>
      <c r="F224" s="479"/>
      <c r="G224" s="44"/>
      <c r="H224" s="44"/>
      <c r="I224" s="480"/>
      <c r="J224" s="44"/>
      <c r="K224" s="1"/>
      <c r="L224" s="44"/>
      <c r="M224" s="481"/>
      <c r="N224" s="482"/>
      <c r="O224" s="100"/>
      <c r="P224" s="483"/>
      <c r="Q224" s="482"/>
      <c r="R224" s="1"/>
      <c r="S224" s="484"/>
      <c r="T224" s="1"/>
      <c r="U224" s="484"/>
      <c r="V224" s="1"/>
      <c r="W224" s="484"/>
      <c r="X224" s="1"/>
      <c r="Y224" s="484"/>
      <c r="Z224" s="1"/>
      <c r="AA224" s="1"/>
      <c r="AB224" s="1"/>
      <c r="AC224" s="1"/>
      <c r="AD224" s="482"/>
      <c r="AE224" s="485"/>
      <c r="AF224" s="486"/>
      <c r="AG224" s="487"/>
      <c r="AH224" s="487"/>
      <c r="AI224" s="488"/>
      <c r="AJ224" s="489"/>
      <c r="AK224" s="648"/>
      <c r="AL224" s="648"/>
      <c r="AM224" s="648"/>
      <c r="AN224" s="648"/>
      <c r="AO224" s="648"/>
      <c r="AP224" s="648"/>
      <c r="AQ224" s="658"/>
      <c r="AR224" s="648"/>
      <c r="AS224" s="658"/>
      <c r="AT224" s="658"/>
      <c r="AU224" s="658"/>
      <c r="AV224" s="658"/>
      <c r="AW224" s="658"/>
      <c r="AX224" s="658"/>
      <c r="AY224" s="658"/>
      <c r="AZ224" s="658"/>
      <c r="BA224" s="658"/>
      <c r="BB224" s="658"/>
      <c r="BC224" s="668"/>
      <c r="BD224" s="658"/>
      <c r="BE224" s="658"/>
      <c r="BF224" s="658"/>
      <c r="BG224" s="658"/>
      <c r="BH224" s="676"/>
      <c r="BI224" s="658"/>
      <c r="BJ224" s="658"/>
      <c r="BK224" s="658"/>
      <c r="BL224" s="658"/>
      <c r="BM224" s="658"/>
      <c r="BN224" s="658"/>
      <c r="BO224" s="675"/>
    </row>
    <row r="225" spans="1:67" s="494" customFormat="1">
      <c r="A225" s="44"/>
      <c r="B225" s="479"/>
      <c r="C225" s="479"/>
      <c r="D225" s="479"/>
      <c r="E225" s="479"/>
      <c r="F225" s="479"/>
      <c r="G225" s="44"/>
      <c r="H225" s="44"/>
      <c r="I225" s="480"/>
      <c r="J225" s="44"/>
      <c r="K225" s="1"/>
      <c r="L225" s="44"/>
      <c r="M225" s="481"/>
      <c r="N225" s="482"/>
      <c r="O225" s="100"/>
      <c r="P225" s="483"/>
      <c r="Q225" s="482"/>
      <c r="R225" s="1"/>
      <c r="S225" s="484"/>
      <c r="T225" s="1"/>
      <c r="U225" s="484"/>
      <c r="V225" s="1"/>
      <c r="W225" s="484"/>
      <c r="X225" s="1"/>
      <c r="Y225" s="484"/>
      <c r="Z225" s="1"/>
      <c r="AA225" s="1"/>
      <c r="AB225" s="1"/>
      <c r="AC225" s="1"/>
      <c r="AD225" s="482"/>
      <c r="AE225" s="485"/>
      <c r="AF225" s="486"/>
      <c r="AG225" s="487"/>
      <c r="AH225" s="487"/>
      <c r="AI225" s="488"/>
      <c r="AJ225" s="489"/>
      <c r="AK225" s="648"/>
      <c r="AL225" s="648"/>
      <c r="AM225" s="648"/>
      <c r="AN225" s="648"/>
      <c r="AO225" s="648"/>
      <c r="AP225" s="648"/>
      <c r="AQ225" s="658"/>
      <c r="AR225" s="648"/>
      <c r="AS225" s="658"/>
      <c r="AT225" s="658"/>
      <c r="AU225" s="658"/>
      <c r="AV225" s="658"/>
      <c r="AW225" s="658"/>
      <c r="AX225" s="658"/>
      <c r="AY225" s="658"/>
      <c r="AZ225" s="658"/>
      <c r="BA225" s="658"/>
      <c r="BB225" s="658"/>
      <c r="BC225" s="668"/>
      <c r="BD225" s="658"/>
      <c r="BE225" s="658"/>
      <c r="BF225" s="658"/>
      <c r="BG225" s="658"/>
      <c r="BH225" s="676"/>
      <c r="BI225" s="658"/>
      <c r="BJ225" s="658"/>
      <c r="BK225" s="658"/>
      <c r="BL225" s="658"/>
      <c r="BM225" s="658"/>
      <c r="BN225" s="658"/>
      <c r="BO225" s="675"/>
    </row>
    <row r="226" spans="1:67" s="494" customFormat="1">
      <c r="A226" s="44"/>
      <c r="B226" s="479"/>
      <c r="C226" s="479"/>
      <c r="D226" s="479"/>
      <c r="E226" s="479"/>
      <c r="F226" s="479"/>
      <c r="G226" s="44"/>
      <c r="H226" s="44"/>
      <c r="I226" s="480"/>
      <c r="J226" s="44"/>
      <c r="K226" s="1"/>
      <c r="L226" s="44"/>
      <c r="M226" s="481"/>
      <c r="N226" s="482"/>
      <c r="O226" s="100"/>
      <c r="P226" s="483"/>
      <c r="Q226" s="482"/>
      <c r="R226" s="1"/>
      <c r="S226" s="484"/>
      <c r="T226" s="1"/>
      <c r="U226" s="484"/>
      <c r="V226" s="1"/>
      <c r="W226" s="484"/>
      <c r="X226" s="1"/>
      <c r="Y226" s="484"/>
      <c r="Z226" s="1"/>
      <c r="AA226" s="1"/>
      <c r="AB226" s="1"/>
      <c r="AC226" s="1"/>
      <c r="AD226" s="482"/>
      <c r="AE226" s="485"/>
      <c r="AF226" s="486"/>
      <c r="AG226" s="487"/>
      <c r="AH226" s="487"/>
      <c r="AI226" s="488"/>
      <c r="AJ226" s="489"/>
      <c r="AK226" s="648"/>
      <c r="AL226" s="648"/>
      <c r="AM226" s="648"/>
      <c r="AN226" s="648"/>
      <c r="AO226" s="648"/>
      <c r="AP226" s="648"/>
      <c r="AQ226" s="658"/>
      <c r="AR226" s="648"/>
      <c r="AS226" s="658"/>
      <c r="AT226" s="658"/>
      <c r="AU226" s="658"/>
      <c r="AV226" s="658"/>
      <c r="AW226" s="658"/>
      <c r="AX226" s="658"/>
      <c r="AY226" s="658"/>
      <c r="AZ226" s="658"/>
      <c r="BA226" s="658"/>
      <c r="BB226" s="658"/>
      <c r="BC226" s="668"/>
      <c r="BD226" s="658"/>
      <c r="BE226" s="658"/>
      <c r="BF226" s="658"/>
      <c r="BG226" s="658"/>
      <c r="BH226" s="676"/>
      <c r="BI226" s="658"/>
      <c r="BJ226" s="658"/>
      <c r="BK226" s="658"/>
      <c r="BL226" s="658"/>
      <c r="BM226" s="658"/>
      <c r="BN226" s="658"/>
      <c r="BO226" s="675"/>
    </row>
    <row r="227" spans="1:67" s="494" customFormat="1">
      <c r="A227" s="44"/>
      <c r="B227" s="479"/>
      <c r="C227" s="479"/>
      <c r="D227" s="479"/>
      <c r="E227" s="479"/>
      <c r="F227" s="479"/>
      <c r="G227" s="44"/>
      <c r="H227" s="44"/>
      <c r="I227" s="480"/>
      <c r="J227" s="44"/>
      <c r="K227" s="1"/>
      <c r="L227" s="44"/>
      <c r="M227" s="481"/>
      <c r="N227" s="482"/>
      <c r="O227" s="100"/>
      <c r="P227" s="483"/>
      <c r="Q227" s="482"/>
      <c r="R227" s="1"/>
      <c r="S227" s="484"/>
      <c r="T227" s="1"/>
      <c r="U227" s="484"/>
      <c r="V227" s="1"/>
      <c r="W227" s="484"/>
      <c r="X227" s="1"/>
      <c r="Y227" s="484"/>
      <c r="Z227" s="1"/>
      <c r="AA227" s="1"/>
      <c r="AB227" s="1"/>
      <c r="AC227" s="1"/>
      <c r="AD227" s="482"/>
      <c r="AE227" s="485"/>
      <c r="AF227" s="486"/>
      <c r="AG227" s="487"/>
      <c r="AH227" s="487"/>
      <c r="AI227" s="488"/>
      <c r="AJ227" s="489"/>
      <c r="AK227" s="648"/>
      <c r="AL227" s="648"/>
      <c r="AM227" s="648"/>
      <c r="AN227" s="648"/>
      <c r="AO227" s="648"/>
      <c r="AP227" s="648"/>
      <c r="AQ227" s="658"/>
      <c r="AR227" s="648"/>
      <c r="AS227" s="658"/>
      <c r="AT227" s="658"/>
      <c r="AU227" s="658"/>
      <c r="AV227" s="658"/>
      <c r="AW227" s="658"/>
      <c r="AX227" s="658"/>
      <c r="AY227" s="658"/>
      <c r="AZ227" s="658"/>
      <c r="BA227" s="658"/>
      <c r="BB227" s="658"/>
      <c r="BC227" s="668"/>
      <c r="BD227" s="658"/>
      <c r="BE227" s="658"/>
      <c r="BF227" s="658"/>
      <c r="BG227" s="658"/>
      <c r="BH227" s="676"/>
      <c r="BI227" s="658"/>
      <c r="BJ227" s="658"/>
      <c r="BK227" s="658"/>
      <c r="BL227" s="658"/>
      <c r="BM227" s="658"/>
      <c r="BN227" s="658"/>
      <c r="BO227" s="675"/>
    </row>
    <row r="228" spans="1:67" s="494" customFormat="1">
      <c r="A228" s="44"/>
      <c r="B228" s="479"/>
      <c r="C228" s="479"/>
      <c r="D228" s="479"/>
      <c r="E228" s="479"/>
      <c r="F228" s="479"/>
      <c r="G228" s="44"/>
      <c r="H228" s="44"/>
      <c r="I228" s="480"/>
      <c r="J228" s="44"/>
      <c r="K228" s="1"/>
      <c r="L228" s="44"/>
      <c r="M228" s="481"/>
      <c r="N228" s="482"/>
      <c r="O228" s="100"/>
      <c r="P228" s="483"/>
      <c r="Q228" s="482"/>
      <c r="R228" s="1"/>
      <c r="S228" s="484"/>
      <c r="T228" s="1"/>
      <c r="U228" s="484"/>
      <c r="V228" s="1"/>
      <c r="W228" s="484"/>
      <c r="X228" s="1"/>
      <c r="Y228" s="484"/>
      <c r="Z228" s="1"/>
      <c r="AA228" s="1"/>
      <c r="AB228" s="1"/>
      <c r="AC228" s="1"/>
      <c r="AD228" s="482"/>
      <c r="AE228" s="485"/>
      <c r="AF228" s="486"/>
      <c r="AG228" s="487"/>
      <c r="AH228" s="487"/>
      <c r="AI228" s="488"/>
      <c r="AJ228" s="489"/>
      <c r="AK228" s="648"/>
      <c r="AL228" s="648"/>
      <c r="AM228" s="648"/>
      <c r="AN228" s="648"/>
      <c r="AO228" s="648"/>
      <c r="AP228" s="648"/>
      <c r="AQ228" s="658"/>
      <c r="AR228" s="648"/>
      <c r="AS228" s="658"/>
      <c r="AT228" s="658"/>
      <c r="AU228" s="658"/>
      <c r="AV228" s="658"/>
      <c r="AW228" s="658"/>
      <c r="AX228" s="658"/>
      <c r="AY228" s="658"/>
      <c r="AZ228" s="658"/>
      <c r="BA228" s="658"/>
      <c r="BB228" s="658"/>
      <c r="BC228" s="668"/>
      <c r="BD228" s="658"/>
      <c r="BE228" s="658"/>
      <c r="BF228" s="658"/>
      <c r="BG228" s="658"/>
      <c r="BH228" s="676"/>
      <c r="BI228" s="658"/>
      <c r="BJ228" s="658"/>
      <c r="BK228" s="658"/>
      <c r="BL228" s="658"/>
      <c r="BM228" s="658"/>
      <c r="BN228" s="658"/>
      <c r="BO228" s="675"/>
    </row>
    <row r="229" spans="1:67" s="494" customFormat="1">
      <c r="A229" s="44"/>
      <c r="B229" s="479"/>
      <c r="C229" s="479"/>
      <c r="D229" s="479"/>
      <c r="E229" s="479"/>
      <c r="F229" s="479"/>
      <c r="G229" s="44"/>
      <c r="H229" s="44"/>
      <c r="I229" s="480"/>
      <c r="J229" s="44"/>
      <c r="K229" s="1"/>
      <c r="L229" s="44"/>
      <c r="M229" s="481"/>
      <c r="N229" s="482"/>
      <c r="O229" s="100"/>
      <c r="P229" s="483"/>
      <c r="Q229" s="482"/>
      <c r="R229" s="1"/>
      <c r="S229" s="484"/>
      <c r="T229" s="1"/>
      <c r="U229" s="484"/>
      <c r="V229" s="1"/>
      <c r="W229" s="484"/>
      <c r="X229" s="1"/>
      <c r="Y229" s="484"/>
      <c r="Z229" s="1"/>
      <c r="AA229" s="1"/>
      <c r="AB229" s="1"/>
      <c r="AC229" s="1"/>
      <c r="AD229" s="482"/>
      <c r="AE229" s="485"/>
      <c r="AF229" s="486"/>
      <c r="AG229" s="487"/>
      <c r="AH229" s="487"/>
      <c r="AI229" s="488"/>
      <c r="AJ229" s="489"/>
      <c r="AK229" s="648"/>
      <c r="AL229" s="648"/>
      <c r="AM229" s="648"/>
      <c r="AN229" s="648"/>
      <c r="AO229" s="648"/>
      <c r="AP229" s="648"/>
      <c r="AQ229" s="658"/>
      <c r="AR229" s="648"/>
      <c r="AS229" s="658"/>
      <c r="AT229" s="658"/>
      <c r="AU229" s="658"/>
      <c r="AV229" s="658"/>
      <c r="AW229" s="658"/>
      <c r="AX229" s="658"/>
      <c r="AY229" s="658"/>
      <c r="AZ229" s="658"/>
      <c r="BA229" s="658"/>
      <c r="BB229" s="658"/>
      <c r="BC229" s="668"/>
      <c r="BD229" s="658"/>
      <c r="BE229" s="658"/>
      <c r="BF229" s="658"/>
      <c r="BG229" s="658"/>
      <c r="BH229" s="676"/>
      <c r="BI229" s="658"/>
      <c r="BJ229" s="658"/>
      <c r="BK229" s="658"/>
      <c r="BL229" s="658"/>
      <c r="BM229" s="658"/>
      <c r="BN229" s="658"/>
      <c r="BO229" s="675"/>
    </row>
    <row r="230" spans="1:67" s="494" customFormat="1">
      <c r="A230" s="44"/>
      <c r="B230" s="479"/>
      <c r="C230" s="479"/>
      <c r="D230" s="479"/>
      <c r="E230" s="479"/>
      <c r="F230" s="479"/>
      <c r="G230" s="44"/>
      <c r="H230" s="44"/>
      <c r="I230" s="480"/>
      <c r="J230" s="44"/>
      <c r="K230" s="1"/>
      <c r="L230" s="44"/>
      <c r="M230" s="481"/>
      <c r="N230" s="482"/>
      <c r="O230" s="100"/>
      <c r="P230" s="483"/>
      <c r="Q230" s="482"/>
      <c r="R230" s="1"/>
      <c r="S230" s="484"/>
      <c r="T230" s="1"/>
      <c r="U230" s="484"/>
      <c r="V230" s="1"/>
      <c r="W230" s="484"/>
      <c r="X230" s="1"/>
      <c r="Y230" s="484"/>
      <c r="Z230" s="1"/>
      <c r="AA230" s="1"/>
      <c r="AB230" s="1"/>
      <c r="AC230" s="1"/>
      <c r="AD230" s="482"/>
      <c r="AE230" s="485"/>
      <c r="AF230" s="486"/>
      <c r="AG230" s="487"/>
      <c r="AH230" s="487"/>
      <c r="AI230" s="488"/>
      <c r="AJ230" s="489"/>
      <c r="AK230" s="648"/>
      <c r="AL230" s="648"/>
      <c r="AM230" s="648"/>
      <c r="AN230" s="648"/>
      <c r="AO230" s="648"/>
      <c r="AP230" s="648"/>
      <c r="AQ230" s="658"/>
      <c r="AR230" s="648"/>
      <c r="AS230" s="658"/>
      <c r="AT230" s="658"/>
      <c r="AU230" s="658"/>
      <c r="AV230" s="658"/>
      <c r="AW230" s="658"/>
      <c r="AX230" s="658"/>
      <c r="AY230" s="658"/>
      <c r="AZ230" s="658"/>
      <c r="BA230" s="658"/>
      <c r="BB230" s="658"/>
      <c r="BC230" s="668"/>
      <c r="BD230" s="658"/>
      <c r="BE230" s="658"/>
      <c r="BF230" s="658"/>
      <c r="BG230" s="658"/>
      <c r="BH230" s="676"/>
      <c r="BI230" s="658"/>
      <c r="BJ230" s="658"/>
      <c r="BK230" s="658"/>
      <c r="BL230" s="658"/>
      <c r="BM230" s="658"/>
      <c r="BN230" s="658"/>
      <c r="BO230" s="675"/>
    </row>
    <row r="231" spans="1:67" s="494" customFormat="1">
      <c r="A231" s="44"/>
      <c r="B231" s="479"/>
      <c r="C231" s="479"/>
      <c r="D231" s="479"/>
      <c r="E231" s="479"/>
      <c r="F231" s="479"/>
      <c r="G231" s="44"/>
      <c r="H231" s="44"/>
      <c r="I231" s="480"/>
      <c r="J231" s="44"/>
      <c r="K231" s="1"/>
      <c r="L231" s="44"/>
      <c r="M231" s="481"/>
      <c r="N231" s="482"/>
      <c r="O231" s="100"/>
      <c r="P231" s="483"/>
      <c r="Q231" s="482"/>
      <c r="R231" s="1"/>
      <c r="S231" s="484"/>
      <c r="T231" s="1"/>
      <c r="U231" s="484"/>
      <c r="V231" s="1"/>
      <c r="W231" s="484"/>
      <c r="X231" s="1"/>
      <c r="Y231" s="484"/>
      <c r="Z231" s="1"/>
      <c r="AA231" s="1"/>
      <c r="AB231" s="1"/>
      <c r="AC231" s="1"/>
      <c r="AD231" s="482"/>
      <c r="AE231" s="485"/>
      <c r="AF231" s="486"/>
      <c r="AG231" s="487"/>
      <c r="AH231" s="487"/>
      <c r="AI231" s="488"/>
      <c r="AJ231" s="489"/>
      <c r="AK231" s="648"/>
      <c r="AL231" s="648"/>
      <c r="AM231" s="648"/>
      <c r="AN231" s="648"/>
      <c r="AO231" s="648"/>
      <c r="AP231" s="648"/>
      <c r="AQ231" s="658"/>
      <c r="AR231" s="648"/>
      <c r="AS231" s="658"/>
      <c r="AT231" s="658"/>
      <c r="AU231" s="658"/>
      <c r="AV231" s="658"/>
      <c r="AW231" s="658"/>
      <c r="AX231" s="658"/>
      <c r="AY231" s="658"/>
      <c r="AZ231" s="658"/>
      <c r="BA231" s="658"/>
      <c r="BB231" s="658"/>
      <c r="BC231" s="668"/>
      <c r="BD231" s="658"/>
      <c r="BE231" s="658"/>
      <c r="BF231" s="658"/>
      <c r="BG231" s="658"/>
      <c r="BH231" s="676"/>
      <c r="BI231" s="658"/>
      <c r="BJ231" s="658"/>
      <c r="BK231" s="658"/>
      <c r="BL231" s="658"/>
      <c r="BM231" s="658"/>
      <c r="BN231" s="658"/>
      <c r="BO231" s="675"/>
    </row>
    <row r="232" spans="1:67" s="494" customFormat="1">
      <c r="A232" s="44"/>
      <c r="B232" s="479"/>
      <c r="C232" s="479"/>
      <c r="D232" s="479"/>
      <c r="E232" s="479"/>
      <c r="F232" s="479"/>
      <c r="G232" s="44"/>
      <c r="H232" s="44"/>
      <c r="I232" s="480"/>
      <c r="J232" s="44"/>
      <c r="K232" s="1"/>
      <c r="L232" s="44"/>
      <c r="M232" s="481"/>
      <c r="N232" s="482"/>
      <c r="O232" s="100"/>
      <c r="P232" s="483"/>
      <c r="Q232" s="482"/>
      <c r="R232" s="1"/>
      <c r="S232" s="484"/>
      <c r="T232" s="1"/>
      <c r="U232" s="484"/>
      <c r="V232" s="1"/>
      <c r="W232" s="484"/>
      <c r="X232" s="1"/>
      <c r="Y232" s="484"/>
      <c r="Z232" s="1"/>
      <c r="AA232" s="1"/>
      <c r="AB232" s="1"/>
      <c r="AC232" s="1"/>
      <c r="AD232" s="482"/>
      <c r="AE232" s="485"/>
      <c r="AF232" s="486"/>
      <c r="AG232" s="487"/>
      <c r="AH232" s="487"/>
      <c r="AI232" s="488"/>
      <c r="AJ232" s="489"/>
      <c r="AK232" s="648"/>
      <c r="AL232" s="648"/>
      <c r="AM232" s="648"/>
      <c r="AN232" s="648"/>
      <c r="AO232" s="648"/>
      <c r="AP232" s="648"/>
      <c r="AQ232" s="658"/>
      <c r="AR232" s="648"/>
      <c r="AS232" s="658"/>
      <c r="AT232" s="658"/>
      <c r="AU232" s="658"/>
      <c r="AV232" s="658"/>
      <c r="AW232" s="658"/>
      <c r="AX232" s="658"/>
      <c r="AY232" s="658"/>
      <c r="AZ232" s="658"/>
      <c r="BA232" s="658"/>
      <c r="BB232" s="658"/>
      <c r="BC232" s="668"/>
      <c r="BD232" s="658"/>
      <c r="BE232" s="658"/>
      <c r="BF232" s="658"/>
      <c r="BG232" s="658"/>
      <c r="BH232" s="676"/>
      <c r="BI232" s="658"/>
      <c r="BJ232" s="658"/>
      <c r="BK232" s="658"/>
      <c r="BL232" s="658"/>
      <c r="BM232" s="658"/>
      <c r="BN232" s="658"/>
      <c r="BO232" s="675"/>
    </row>
    <row r="233" spans="1:67" s="494" customFormat="1">
      <c r="A233" s="44"/>
      <c r="B233" s="479"/>
      <c r="C233" s="479"/>
      <c r="D233" s="479"/>
      <c r="E233" s="479"/>
      <c r="F233" s="479"/>
      <c r="G233" s="44"/>
      <c r="H233" s="44"/>
      <c r="I233" s="480"/>
      <c r="J233" s="44"/>
      <c r="K233" s="1"/>
      <c r="L233" s="44"/>
      <c r="M233" s="481"/>
      <c r="N233" s="482"/>
      <c r="O233" s="100"/>
      <c r="P233" s="483"/>
      <c r="Q233" s="482"/>
      <c r="R233" s="1"/>
      <c r="S233" s="484"/>
      <c r="T233" s="1"/>
      <c r="U233" s="484"/>
      <c r="V233" s="1"/>
      <c r="W233" s="484"/>
      <c r="X233" s="1"/>
      <c r="Y233" s="484"/>
      <c r="Z233" s="1"/>
      <c r="AA233" s="1"/>
      <c r="AB233" s="1"/>
      <c r="AC233" s="1"/>
      <c r="AD233" s="482"/>
      <c r="AE233" s="485"/>
      <c r="AF233" s="486"/>
      <c r="AG233" s="487"/>
      <c r="AH233" s="487"/>
      <c r="AI233" s="488"/>
      <c r="AJ233" s="489"/>
      <c r="AK233" s="648"/>
      <c r="AL233" s="648"/>
      <c r="AM233" s="648"/>
      <c r="AN233" s="648"/>
      <c r="AO233" s="648"/>
      <c r="AP233" s="648"/>
      <c r="AQ233" s="658"/>
      <c r="AR233" s="648"/>
      <c r="AS233" s="658"/>
      <c r="AT233" s="658"/>
      <c r="AU233" s="658"/>
      <c r="AV233" s="658"/>
      <c r="AW233" s="658"/>
      <c r="AX233" s="658"/>
      <c r="AY233" s="658"/>
      <c r="AZ233" s="658"/>
      <c r="BA233" s="658"/>
      <c r="BB233" s="658"/>
      <c r="BC233" s="668"/>
      <c r="BD233" s="658"/>
      <c r="BE233" s="658"/>
      <c r="BF233" s="658"/>
      <c r="BG233" s="658"/>
      <c r="BH233" s="676"/>
      <c r="BI233" s="658"/>
      <c r="BJ233" s="658"/>
      <c r="BK233" s="658"/>
      <c r="BL233" s="658"/>
      <c r="BM233" s="658"/>
      <c r="BN233" s="658"/>
      <c r="BO233" s="675"/>
    </row>
    <row r="234" spans="1:67" s="494" customFormat="1">
      <c r="A234" s="44"/>
      <c r="B234" s="479"/>
      <c r="C234" s="479"/>
      <c r="D234" s="479"/>
      <c r="E234" s="479"/>
      <c r="F234" s="479"/>
      <c r="G234" s="44"/>
      <c r="H234" s="44"/>
      <c r="I234" s="480"/>
      <c r="J234" s="44"/>
      <c r="K234" s="1"/>
      <c r="L234" s="44"/>
      <c r="M234" s="481"/>
      <c r="N234" s="482"/>
      <c r="O234" s="100"/>
      <c r="P234" s="483"/>
      <c r="Q234" s="482"/>
      <c r="R234" s="1"/>
      <c r="S234" s="484"/>
      <c r="T234" s="1"/>
      <c r="U234" s="484"/>
      <c r="V234" s="1"/>
      <c r="W234" s="484"/>
      <c r="X234" s="1"/>
      <c r="Y234" s="484"/>
      <c r="Z234" s="1"/>
      <c r="AA234" s="1"/>
      <c r="AB234" s="1"/>
      <c r="AC234" s="1"/>
      <c r="AD234" s="482"/>
      <c r="AE234" s="485"/>
      <c r="AF234" s="486"/>
      <c r="AG234" s="487"/>
      <c r="AH234" s="487"/>
      <c r="AI234" s="488"/>
      <c r="AJ234" s="489"/>
      <c r="AK234" s="648"/>
      <c r="AL234" s="648"/>
      <c r="AM234" s="648"/>
      <c r="AN234" s="648"/>
      <c r="AO234" s="648"/>
      <c r="AP234" s="648"/>
      <c r="AQ234" s="658"/>
      <c r="AR234" s="648"/>
      <c r="AS234" s="658"/>
      <c r="AT234" s="658"/>
      <c r="AU234" s="658"/>
      <c r="AV234" s="658"/>
      <c r="AW234" s="658"/>
      <c r="AX234" s="658"/>
      <c r="AY234" s="658"/>
      <c r="AZ234" s="658"/>
      <c r="BA234" s="658"/>
      <c r="BB234" s="658"/>
      <c r="BC234" s="668"/>
      <c r="BD234" s="658"/>
      <c r="BE234" s="658"/>
      <c r="BF234" s="658"/>
      <c r="BG234" s="658"/>
      <c r="BH234" s="676"/>
      <c r="BI234" s="658"/>
      <c r="BJ234" s="658"/>
      <c r="BK234" s="658"/>
      <c r="BL234" s="658"/>
      <c r="BM234" s="658"/>
      <c r="BN234" s="658"/>
      <c r="BO234" s="675"/>
    </row>
    <row r="235" spans="1:67" s="494" customFormat="1">
      <c r="A235" s="44"/>
      <c r="B235" s="479"/>
      <c r="C235" s="479"/>
      <c r="D235" s="479"/>
      <c r="E235" s="479"/>
      <c r="F235" s="479"/>
      <c r="G235" s="44"/>
      <c r="H235" s="44"/>
      <c r="I235" s="480"/>
      <c r="J235" s="44"/>
      <c r="K235" s="1"/>
      <c r="L235" s="44"/>
      <c r="M235" s="481"/>
      <c r="N235" s="482"/>
      <c r="O235" s="100"/>
      <c r="P235" s="483"/>
      <c r="Q235" s="482"/>
      <c r="R235" s="1"/>
      <c r="S235" s="484"/>
      <c r="T235" s="1"/>
      <c r="U235" s="484"/>
      <c r="V235" s="1"/>
      <c r="W235" s="484"/>
      <c r="X235" s="1"/>
      <c r="Y235" s="484"/>
      <c r="Z235" s="1"/>
      <c r="AA235" s="1"/>
      <c r="AB235" s="1"/>
      <c r="AC235" s="1"/>
      <c r="AD235" s="482"/>
      <c r="AE235" s="485"/>
      <c r="AF235" s="486"/>
      <c r="AG235" s="487"/>
      <c r="AH235" s="487"/>
      <c r="AI235" s="488"/>
      <c r="AJ235" s="489"/>
      <c r="AK235" s="648"/>
      <c r="AL235" s="648"/>
      <c r="AM235" s="648"/>
      <c r="AN235" s="648"/>
      <c r="AO235" s="648"/>
      <c r="AP235" s="648"/>
      <c r="AQ235" s="658"/>
      <c r="AR235" s="648"/>
      <c r="AS235" s="658"/>
      <c r="AT235" s="658"/>
      <c r="AU235" s="658"/>
      <c r="AV235" s="658"/>
      <c r="AW235" s="658"/>
      <c r="AX235" s="658"/>
      <c r="AY235" s="658"/>
      <c r="AZ235" s="658"/>
      <c r="BA235" s="658"/>
      <c r="BB235" s="658"/>
      <c r="BC235" s="668"/>
      <c r="BD235" s="658"/>
      <c r="BE235" s="658"/>
      <c r="BF235" s="658"/>
      <c r="BG235" s="658"/>
      <c r="BH235" s="676"/>
      <c r="BI235" s="658"/>
      <c r="BJ235" s="658"/>
      <c r="BK235" s="658"/>
      <c r="BL235" s="658"/>
      <c r="BM235" s="658"/>
      <c r="BN235" s="658"/>
      <c r="BO235" s="675"/>
    </row>
    <row r="236" spans="1:67" s="494" customFormat="1">
      <c r="A236" s="44"/>
      <c r="B236" s="479"/>
      <c r="C236" s="479"/>
      <c r="D236" s="479"/>
      <c r="E236" s="479"/>
      <c r="F236" s="479"/>
      <c r="G236" s="44"/>
      <c r="H236" s="44"/>
      <c r="I236" s="480"/>
      <c r="J236" s="44"/>
      <c r="K236" s="1"/>
      <c r="L236" s="44"/>
      <c r="M236" s="481"/>
      <c r="N236" s="482"/>
      <c r="O236" s="100"/>
      <c r="P236" s="483"/>
      <c r="Q236" s="482"/>
      <c r="R236" s="1"/>
      <c r="S236" s="484"/>
      <c r="T236" s="1"/>
      <c r="U236" s="484"/>
      <c r="V236" s="1"/>
      <c r="W236" s="484"/>
      <c r="X236" s="1"/>
      <c r="Y236" s="484"/>
      <c r="Z236" s="1"/>
      <c r="AA236" s="1"/>
      <c r="AB236" s="1"/>
      <c r="AC236" s="1"/>
      <c r="AD236" s="482"/>
      <c r="AE236" s="485"/>
      <c r="AF236" s="486"/>
      <c r="AG236" s="487"/>
      <c r="AH236" s="487"/>
      <c r="AI236" s="488"/>
      <c r="AJ236" s="489"/>
      <c r="AK236" s="648"/>
      <c r="AL236" s="648"/>
      <c r="AM236" s="648"/>
      <c r="AN236" s="648"/>
      <c r="AO236" s="648"/>
      <c r="AP236" s="648"/>
      <c r="AQ236" s="658"/>
      <c r="AR236" s="648"/>
      <c r="AS236" s="658"/>
      <c r="AT236" s="658"/>
      <c r="AU236" s="658"/>
      <c r="AV236" s="658"/>
      <c r="AW236" s="658"/>
      <c r="AX236" s="658"/>
      <c r="AY236" s="658"/>
      <c r="AZ236" s="658"/>
      <c r="BA236" s="658"/>
      <c r="BB236" s="658"/>
      <c r="BC236" s="668"/>
      <c r="BD236" s="658"/>
      <c r="BE236" s="658"/>
      <c r="BF236" s="658"/>
      <c r="BG236" s="658"/>
      <c r="BH236" s="676"/>
      <c r="BI236" s="658"/>
      <c r="BJ236" s="658"/>
      <c r="BK236" s="658"/>
      <c r="BL236" s="658"/>
      <c r="BM236" s="658"/>
      <c r="BN236" s="658"/>
      <c r="BO236" s="675"/>
    </row>
    <row r="237" spans="1:67" s="494" customFormat="1">
      <c r="A237" s="44"/>
      <c r="B237" s="479"/>
      <c r="C237" s="479"/>
      <c r="D237" s="479"/>
      <c r="E237" s="479"/>
      <c r="F237" s="479"/>
      <c r="G237" s="44"/>
      <c r="H237" s="44"/>
      <c r="I237" s="480"/>
      <c r="J237" s="44"/>
      <c r="K237" s="1"/>
      <c r="L237" s="44"/>
      <c r="M237" s="481"/>
      <c r="N237" s="482"/>
      <c r="O237" s="100"/>
      <c r="P237" s="483"/>
      <c r="Q237" s="482"/>
      <c r="R237" s="1"/>
      <c r="S237" s="484"/>
      <c r="T237" s="1"/>
      <c r="U237" s="484"/>
      <c r="V237" s="1"/>
      <c r="W237" s="484"/>
      <c r="X237" s="1"/>
      <c r="Y237" s="484"/>
      <c r="Z237" s="1"/>
      <c r="AA237" s="1"/>
      <c r="AB237" s="1"/>
      <c r="AC237" s="1"/>
      <c r="AD237" s="482"/>
      <c r="AE237" s="485"/>
      <c r="AF237" s="486"/>
      <c r="AG237" s="487"/>
      <c r="AH237" s="487"/>
      <c r="AI237" s="488"/>
      <c r="AJ237" s="489"/>
      <c r="AK237" s="648"/>
      <c r="AL237" s="648"/>
      <c r="AM237" s="648"/>
      <c r="AN237" s="648"/>
      <c r="AO237" s="648"/>
      <c r="AP237" s="648"/>
      <c r="AQ237" s="658"/>
      <c r="AR237" s="648"/>
      <c r="AS237" s="658"/>
      <c r="AT237" s="658"/>
      <c r="AU237" s="658"/>
      <c r="AV237" s="658"/>
      <c r="AW237" s="658"/>
      <c r="AX237" s="658"/>
      <c r="AY237" s="658"/>
      <c r="AZ237" s="658"/>
      <c r="BA237" s="658"/>
      <c r="BB237" s="658"/>
      <c r="BC237" s="668"/>
      <c r="BD237" s="658"/>
      <c r="BE237" s="658"/>
      <c r="BF237" s="658"/>
      <c r="BG237" s="658"/>
      <c r="BH237" s="676"/>
      <c r="BI237" s="658"/>
      <c r="BJ237" s="658"/>
      <c r="BK237" s="658"/>
      <c r="BL237" s="658"/>
      <c r="BM237" s="658"/>
      <c r="BN237" s="658"/>
      <c r="BO237" s="675"/>
    </row>
    <row r="238" spans="1:67" s="494" customFormat="1">
      <c r="A238" s="44"/>
      <c r="B238" s="479"/>
      <c r="C238" s="479"/>
      <c r="D238" s="479"/>
      <c r="E238" s="479"/>
      <c r="F238" s="479"/>
      <c r="G238" s="44"/>
      <c r="H238" s="44"/>
      <c r="I238" s="480"/>
      <c r="J238" s="44"/>
      <c r="K238" s="1"/>
      <c r="L238" s="44"/>
      <c r="M238" s="481"/>
      <c r="N238" s="482"/>
      <c r="O238" s="100"/>
      <c r="P238" s="483"/>
      <c r="Q238" s="482"/>
      <c r="R238" s="1"/>
      <c r="S238" s="484"/>
      <c r="T238" s="1"/>
      <c r="U238" s="484"/>
      <c r="V238" s="1"/>
      <c r="W238" s="484"/>
      <c r="X238" s="1"/>
      <c r="Y238" s="484"/>
      <c r="Z238" s="1"/>
      <c r="AA238" s="1"/>
      <c r="AB238" s="1"/>
      <c r="AC238" s="1"/>
      <c r="AD238" s="482"/>
      <c r="AE238" s="485"/>
      <c r="AF238" s="486"/>
      <c r="AG238" s="487"/>
      <c r="AH238" s="487"/>
      <c r="AI238" s="488"/>
      <c r="AJ238" s="489"/>
      <c r="AK238" s="648"/>
      <c r="AL238" s="648"/>
      <c r="AM238" s="648"/>
      <c r="AN238" s="648"/>
      <c r="AO238" s="648"/>
      <c r="AP238" s="648"/>
      <c r="AQ238" s="658"/>
      <c r="AR238" s="648"/>
      <c r="AS238" s="658"/>
      <c r="AT238" s="658"/>
      <c r="AU238" s="658"/>
      <c r="AV238" s="658"/>
      <c r="AW238" s="658"/>
      <c r="AX238" s="658"/>
      <c r="AY238" s="658"/>
      <c r="AZ238" s="658"/>
      <c r="BA238" s="658"/>
      <c r="BB238" s="658"/>
      <c r="BC238" s="668"/>
      <c r="BD238" s="658"/>
      <c r="BE238" s="658"/>
      <c r="BF238" s="658"/>
      <c r="BG238" s="658"/>
      <c r="BH238" s="676"/>
      <c r="BI238" s="658"/>
      <c r="BJ238" s="658"/>
      <c r="BK238" s="658"/>
      <c r="BL238" s="658"/>
      <c r="BM238" s="658"/>
      <c r="BN238" s="658"/>
      <c r="BO238" s="675"/>
    </row>
    <row r="239" spans="1:67" s="494" customFormat="1">
      <c r="A239" s="44"/>
      <c r="B239" s="479"/>
      <c r="C239" s="479"/>
      <c r="D239" s="479"/>
      <c r="E239" s="479"/>
      <c r="F239" s="479"/>
      <c r="G239" s="44"/>
      <c r="H239" s="44"/>
      <c r="I239" s="480"/>
      <c r="J239" s="44"/>
      <c r="K239" s="1"/>
      <c r="L239" s="44"/>
      <c r="M239" s="481"/>
      <c r="N239" s="482"/>
      <c r="O239" s="100"/>
      <c r="P239" s="483"/>
      <c r="Q239" s="482"/>
      <c r="R239" s="1"/>
      <c r="S239" s="484"/>
      <c r="T239" s="1"/>
      <c r="U239" s="484"/>
      <c r="V239" s="1"/>
      <c r="W239" s="484"/>
      <c r="X239" s="1"/>
      <c r="Y239" s="484"/>
      <c r="Z239" s="1"/>
      <c r="AA239" s="1"/>
      <c r="AB239" s="1"/>
      <c r="AC239" s="1"/>
      <c r="AD239" s="482"/>
      <c r="AE239" s="485"/>
      <c r="AF239" s="486"/>
      <c r="AG239" s="487"/>
      <c r="AH239" s="487"/>
      <c r="AI239" s="488"/>
      <c r="AJ239" s="489"/>
      <c r="AK239" s="648"/>
      <c r="AL239" s="648"/>
      <c r="AM239" s="648"/>
      <c r="AN239" s="648"/>
      <c r="AO239" s="648"/>
      <c r="AP239" s="648"/>
      <c r="AQ239" s="658"/>
      <c r="AR239" s="648"/>
      <c r="AS239" s="658"/>
      <c r="AT239" s="658"/>
      <c r="AU239" s="658"/>
      <c r="AV239" s="658"/>
      <c r="AW239" s="658"/>
      <c r="AX239" s="658"/>
      <c r="AY239" s="658"/>
      <c r="AZ239" s="658"/>
      <c r="BA239" s="658"/>
      <c r="BB239" s="658"/>
      <c r="BC239" s="668"/>
      <c r="BD239" s="658"/>
      <c r="BE239" s="658"/>
      <c r="BF239" s="658"/>
      <c r="BG239" s="658"/>
      <c r="BH239" s="676"/>
      <c r="BI239" s="658"/>
      <c r="BJ239" s="658"/>
      <c r="BK239" s="658"/>
      <c r="BL239" s="658"/>
      <c r="BM239" s="658"/>
      <c r="BN239" s="658"/>
      <c r="BO239" s="675"/>
    </row>
    <row r="240" spans="1:67" s="494" customFormat="1">
      <c r="A240" s="44"/>
      <c r="B240" s="479"/>
      <c r="C240" s="479"/>
      <c r="D240" s="479"/>
      <c r="E240" s="479"/>
      <c r="F240" s="479"/>
      <c r="G240" s="44"/>
      <c r="H240" s="44"/>
      <c r="I240" s="480"/>
      <c r="J240" s="44"/>
      <c r="K240" s="1"/>
      <c r="L240" s="44"/>
      <c r="M240" s="481"/>
      <c r="N240" s="482"/>
      <c r="O240" s="100"/>
      <c r="P240" s="483"/>
      <c r="Q240" s="482"/>
      <c r="R240" s="1"/>
      <c r="S240" s="484"/>
      <c r="T240" s="1"/>
      <c r="U240" s="484"/>
      <c r="V240" s="1"/>
      <c r="W240" s="484"/>
      <c r="X240" s="1"/>
      <c r="Y240" s="484"/>
      <c r="Z240" s="1"/>
      <c r="AA240" s="1"/>
      <c r="AB240" s="1"/>
      <c r="AC240" s="1"/>
      <c r="AD240" s="482"/>
      <c r="AE240" s="485"/>
      <c r="AF240" s="486"/>
      <c r="AG240" s="487"/>
      <c r="AH240" s="487"/>
      <c r="AI240" s="488"/>
      <c r="AJ240" s="489"/>
      <c r="AK240" s="648"/>
      <c r="AL240" s="648"/>
      <c r="AM240" s="648"/>
      <c r="AN240" s="648"/>
      <c r="AO240" s="648"/>
      <c r="AP240" s="648"/>
      <c r="AQ240" s="658"/>
      <c r="AR240" s="648"/>
      <c r="AS240" s="658"/>
      <c r="AT240" s="658"/>
      <c r="AU240" s="658"/>
      <c r="AV240" s="658"/>
      <c r="AW240" s="658"/>
      <c r="AX240" s="658"/>
      <c r="AY240" s="658"/>
      <c r="AZ240" s="658"/>
      <c r="BA240" s="658"/>
      <c r="BB240" s="658"/>
      <c r="BC240" s="668"/>
      <c r="BD240" s="658"/>
      <c r="BE240" s="658"/>
      <c r="BF240" s="658"/>
      <c r="BG240" s="658"/>
      <c r="BH240" s="676"/>
      <c r="BI240" s="658"/>
      <c r="BJ240" s="658"/>
      <c r="BK240" s="658"/>
      <c r="BL240" s="658"/>
      <c r="BM240" s="658"/>
      <c r="BN240" s="658"/>
      <c r="BO240" s="675"/>
    </row>
    <row r="241" spans="1:67" s="494" customFormat="1">
      <c r="A241" s="44"/>
      <c r="B241" s="479"/>
      <c r="C241" s="479"/>
      <c r="D241" s="479"/>
      <c r="E241" s="479"/>
      <c r="F241" s="479"/>
      <c r="G241" s="44"/>
      <c r="H241" s="44"/>
      <c r="I241" s="480"/>
      <c r="J241" s="44"/>
      <c r="K241" s="1"/>
      <c r="L241" s="44"/>
      <c r="M241" s="481"/>
      <c r="N241" s="482"/>
      <c r="O241" s="100"/>
      <c r="P241" s="483"/>
      <c r="Q241" s="482"/>
      <c r="R241" s="1"/>
      <c r="S241" s="484"/>
      <c r="T241" s="1"/>
      <c r="U241" s="484"/>
      <c r="V241" s="1"/>
      <c r="W241" s="484"/>
      <c r="X241" s="1"/>
      <c r="Y241" s="484"/>
      <c r="Z241" s="1"/>
      <c r="AA241" s="1"/>
      <c r="AB241" s="1"/>
      <c r="AC241" s="1"/>
      <c r="AD241" s="482"/>
      <c r="AE241" s="485"/>
      <c r="AF241" s="486"/>
      <c r="AG241" s="487"/>
      <c r="AH241" s="487"/>
      <c r="AI241" s="488"/>
      <c r="AJ241" s="489"/>
      <c r="AK241" s="648"/>
      <c r="AL241" s="648"/>
      <c r="AM241" s="648"/>
      <c r="AN241" s="648"/>
      <c r="AO241" s="648"/>
      <c r="AP241" s="648"/>
      <c r="AQ241" s="658"/>
      <c r="AR241" s="648"/>
      <c r="AS241" s="658"/>
      <c r="AT241" s="658"/>
      <c r="AU241" s="658"/>
      <c r="AV241" s="658"/>
      <c r="AW241" s="658"/>
      <c r="AX241" s="658"/>
      <c r="AY241" s="658"/>
      <c r="AZ241" s="658"/>
      <c r="BA241" s="658"/>
      <c r="BB241" s="658"/>
      <c r="BC241" s="668"/>
      <c r="BD241" s="658"/>
      <c r="BE241" s="658"/>
      <c r="BF241" s="658"/>
      <c r="BG241" s="658"/>
      <c r="BH241" s="676"/>
      <c r="BI241" s="658"/>
      <c r="BJ241" s="658"/>
      <c r="BK241" s="658"/>
      <c r="BL241" s="658"/>
      <c r="BM241" s="658"/>
      <c r="BN241" s="658"/>
      <c r="BO241" s="675"/>
    </row>
    <row r="242" spans="1:67" s="494" customFormat="1">
      <c r="A242" s="44"/>
      <c r="B242" s="479"/>
      <c r="C242" s="479"/>
      <c r="D242" s="479"/>
      <c r="E242" s="479"/>
      <c r="F242" s="479"/>
      <c r="G242" s="44"/>
      <c r="H242" s="44"/>
      <c r="I242" s="480"/>
      <c r="J242" s="44"/>
      <c r="K242" s="1"/>
      <c r="L242" s="44"/>
      <c r="M242" s="481"/>
      <c r="N242" s="482"/>
      <c r="O242" s="100"/>
      <c r="P242" s="483"/>
      <c r="Q242" s="482"/>
      <c r="R242" s="1"/>
      <c r="S242" s="484"/>
      <c r="T242" s="1"/>
      <c r="U242" s="484"/>
      <c r="V242" s="1"/>
      <c r="W242" s="484"/>
      <c r="X242" s="1"/>
      <c r="Y242" s="484"/>
      <c r="Z242" s="1"/>
      <c r="AA242" s="1"/>
      <c r="AB242" s="1"/>
      <c r="AC242" s="1"/>
      <c r="AD242" s="482"/>
      <c r="AE242" s="485"/>
      <c r="AF242" s="486"/>
      <c r="AG242" s="487"/>
      <c r="AH242" s="487"/>
      <c r="AI242" s="488"/>
      <c r="AJ242" s="489"/>
      <c r="AK242" s="648"/>
      <c r="AL242" s="648"/>
      <c r="AM242" s="648"/>
      <c r="AN242" s="648"/>
      <c r="AO242" s="648"/>
      <c r="AP242" s="648"/>
      <c r="AQ242" s="658"/>
      <c r="AR242" s="648"/>
      <c r="AS242" s="658"/>
      <c r="AT242" s="658"/>
      <c r="AU242" s="658"/>
      <c r="AV242" s="658"/>
      <c r="AW242" s="658"/>
      <c r="AX242" s="658"/>
      <c r="AY242" s="658"/>
      <c r="AZ242" s="658"/>
      <c r="BA242" s="658"/>
      <c r="BB242" s="658"/>
      <c r="BC242" s="668"/>
      <c r="BD242" s="658"/>
      <c r="BE242" s="658"/>
      <c r="BF242" s="658"/>
      <c r="BG242" s="658"/>
      <c r="BH242" s="676"/>
      <c r="BI242" s="658"/>
      <c r="BJ242" s="658"/>
      <c r="BK242" s="658"/>
      <c r="BL242" s="658"/>
      <c r="BM242" s="658"/>
      <c r="BN242" s="658"/>
      <c r="BO242" s="675"/>
    </row>
    <row r="243" spans="1:67" s="494" customFormat="1">
      <c r="A243" s="44"/>
      <c r="B243" s="479"/>
      <c r="C243" s="479"/>
      <c r="D243" s="479"/>
      <c r="E243" s="479"/>
      <c r="F243" s="479"/>
      <c r="G243" s="44"/>
      <c r="H243" s="44"/>
      <c r="I243" s="480"/>
      <c r="J243" s="44"/>
      <c r="K243" s="1"/>
      <c r="L243" s="44"/>
      <c r="M243" s="481"/>
      <c r="N243" s="482"/>
      <c r="O243" s="100"/>
      <c r="P243" s="483"/>
      <c r="Q243" s="482"/>
      <c r="R243" s="1"/>
      <c r="S243" s="484"/>
      <c r="T243" s="1"/>
      <c r="U243" s="484"/>
      <c r="V243" s="1"/>
      <c r="W243" s="484"/>
      <c r="X243" s="1"/>
      <c r="Y243" s="484"/>
      <c r="Z243" s="1"/>
      <c r="AA243" s="1"/>
      <c r="AB243" s="1"/>
      <c r="AC243" s="1"/>
      <c r="AD243" s="482"/>
      <c r="AE243" s="485"/>
      <c r="AF243" s="486"/>
      <c r="AG243" s="487"/>
      <c r="AH243" s="487"/>
      <c r="AI243" s="488"/>
      <c r="AJ243" s="489"/>
      <c r="AK243" s="648"/>
      <c r="AL243" s="648"/>
      <c r="AM243" s="648"/>
      <c r="AN243" s="648"/>
      <c r="AO243" s="648"/>
      <c r="AP243" s="648"/>
      <c r="AQ243" s="658"/>
      <c r="AR243" s="648"/>
      <c r="AS243" s="658"/>
      <c r="AT243" s="658"/>
      <c r="AU243" s="658"/>
      <c r="AV243" s="658"/>
      <c r="AW243" s="658"/>
      <c r="AX243" s="658"/>
      <c r="AY243" s="658"/>
      <c r="AZ243" s="658"/>
      <c r="BA243" s="658"/>
      <c r="BB243" s="658"/>
      <c r="BC243" s="668"/>
      <c r="BD243" s="658"/>
      <c r="BE243" s="658"/>
      <c r="BF243" s="658"/>
      <c r="BG243" s="658"/>
      <c r="BH243" s="676"/>
      <c r="BI243" s="658"/>
      <c r="BJ243" s="658"/>
      <c r="BK243" s="658"/>
      <c r="BL243" s="658"/>
      <c r="BM243" s="658"/>
      <c r="BN243" s="658"/>
      <c r="BO243" s="675"/>
    </row>
    <row r="244" spans="1:67" s="494" customFormat="1">
      <c r="A244" s="44"/>
      <c r="B244" s="479"/>
      <c r="C244" s="479"/>
      <c r="D244" s="479"/>
      <c r="E244" s="479"/>
      <c r="F244" s="479"/>
      <c r="G244" s="44"/>
      <c r="H244" s="44"/>
      <c r="I244" s="480"/>
      <c r="J244" s="44"/>
      <c r="K244" s="1"/>
      <c r="L244" s="44"/>
      <c r="M244" s="481"/>
      <c r="N244" s="482"/>
      <c r="O244" s="100"/>
      <c r="P244" s="483"/>
      <c r="Q244" s="482"/>
      <c r="R244" s="1"/>
      <c r="S244" s="484"/>
      <c r="T244" s="1"/>
      <c r="U244" s="484"/>
      <c r="V244" s="1"/>
      <c r="W244" s="484"/>
      <c r="X244" s="1"/>
      <c r="Y244" s="484"/>
      <c r="Z244" s="1"/>
      <c r="AA244" s="1"/>
      <c r="AB244" s="1"/>
      <c r="AC244" s="1"/>
      <c r="AD244" s="482"/>
      <c r="AE244" s="485"/>
      <c r="AF244" s="486"/>
      <c r="AG244" s="487"/>
      <c r="AH244" s="487"/>
      <c r="AI244" s="488"/>
      <c r="AJ244" s="489"/>
      <c r="AK244" s="648"/>
      <c r="AL244" s="648"/>
      <c r="AM244" s="648"/>
      <c r="AN244" s="648"/>
      <c r="AO244" s="648"/>
      <c r="AP244" s="648"/>
      <c r="AQ244" s="658"/>
      <c r="AR244" s="648"/>
      <c r="AS244" s="658"/>
      <c r="AT244" s="658"/>
      <c r="AU244" s="658"/>
      <c r="AV244" s="658"/>
      <c r="AW244" s="658"/>
      <c r="AX244" s="658"/>
      <c r="AY244" s="658"/>
      <c r="AZ244" s="658"/>
      <c r="BA244" s="658"/>
      <c r="BB244" s="658"/>
      <c r="BC244" s="668"/>
      <c r="BD244" s="658"/>
      <c r="BE244" s="658"/>
      <c r="BF244" s="658"/>
      <c r="BG244" s="658"/>
      <c r="BH244" s="676"/>
      <c r="BI244" s="658"/>
      <c r="BJ244" s="658"/>
      <c r="BK244" s="658"/>
      <c r="BL244" s="658"/>
      <c r="BM244" s="658"/>
      <c r="BN244" s="658"/>
      <c r="BO244" s="675"/>
    </row>
    <row r="245" spans="1:67" s="494" customFormat="1">
      <c r="A245" s="44"/>
      <c r="B245" s="479"/>
      <c r="C245" s="479"/>
      <c r="D245" s="479"/>
      <c r="E245" s="479"/>
      <c r="F245" s="479"/>
      <c r="G245" s="44"/>
      <c r="H245" s="44"/>
      <c r="I245" s="480"/>
      <c r="J245" s="44"/>
      <c r="K245" s="1"/>
      <c r="L245" s="44"/>
      <c r="M245" s="481"/>
      <c r="N245" s="482"/>
      <c r="O245" s="100"/>
      <c r="P245" s="483"/>
      <c r="Q245" s="482"/>
      <c r="R245" s="1"/>
      <c r="S245" s="484"/>
      <c r="T245" s="1"/>
      <c r="U245" s="484"/>
      <c r="V245" s="1"/>
      <c r="W245" s="484"/>
      <c r="X245" s="1"/>
      <c r="Y245" s="484"/>
      <c r="Z245" s="1"/>
      <c r="AA245" s="1"/>
      <c r="AB245" s="1"/>
      <c r="AC245" s="1"/>
      <c r="AD245" s="482"/>
      <c r="AE245" s="485"/>
      <c r="AF245" s="486"/>
      <c r="AG245" s="487"/>
      <c r="AH245" s="487"/>
      <c r="AI245" s="488"/>
      <c r="AJ245" s="489"/>
      <c r="AK245" s="648"/>
      <c r="AL245" s="648"/>
      <c r="AM245" s="648"/>
      <c r="AN245" s="648"/>
      <c r="AO245" s="648"/>
      <c r="AP245" s="648"/>
      <c r="AQ245" s="658"/>
      <c r="AR245" s="648"/>
      <c r="AS245" s="658"/>
      <c r="AT245" s="658"/>
      <c r="AU245" s="658"/>
      <c r="AV245" s="658"/>
      <c r="AW245" s="658"/>
      <c r="AX245" s="658"/>
      <c r="AY245" s="658"/>
      <c r="AZ245" s="658"/>
      <c r="BA245" s="658"/>
      <c r="BB245" s="658"/>
      <c r="BC245" s="668"/>
      <c r="BD245" s="658"/>
      <c r="BE245" s="658"/>
      <c r="BF245" s="658"/>
      <c r="BG245" s="658"/>
      <c r="BH245" s="676"/>
      <c r="BI245" s="658"/>
      <c r="BJ245" s="658"/>
      <c r="BK245" s="658"/>
      <c r="BL245" s="658"/>
      <c r="BM245" s="658"/>
      <c r="BN245" s="658"/>
      <c r="BO245" s="675"/>
    </row>
    <row r="246" spans="1:67" s="494" customFormat="1">
      <c r="A246" s="44"/>
      <c r="B246" s="479"/>
      <c r="C246" s="479"/>
      <c r="D246" s="479"/>
      <c r="E246" s="479"/>
      <c r="F246" s="479"/>
      <c r="G246" s="44"/>
      <c r="H246" s="44"/>
      <c r="I246" s="480"/>
      <c r="J246" s="44"/>
      <c r="K246" s="1"/>
      <c r="L246" s="44"/>
      <c r="M246" s="481"/>
      <c r="N246" s="482"/>
      <c r="O246" s="100"/>
      <c r="P246" s="483"/>
      <c r="Q246" s="482"/>
      <c r="R246" s="1"/>
      <c r="S246" s="484"/>
      <c r="T246" s="1"/>
      <c r="U246" s="484"/>
      <c r="V246" s="1"/>
      <c r="W246" s="484"/>
      <c r="X246" s="1"/>
      <c r="Y246" s="484"/>
      <c r="Z246" s="1"/>
      <c r="AA246" s="1"/>
      <c r="AB246" s="1"/>
      <c r="AC246" s="1"/>
      <c r="AD246" s="482"/>
      <c r="AE246" s="485"/>
      <c r="AF246" s="486"/>
      <c r="AG246" s="487"/>
      <c r="AH246" s="487"/>
      <c r="AI246" s="488"/>
      <c r="AJ246" s="489"/>
      <c r="AK246" s="648"/>
      <c r="AL246" s="648"/>
      <c r="AM246" s="648"/>
      <c r="AN246" s="648"/>
      <c r="AO246" s="648"/>
      <c r="AP246" s="648"/>
      <c r="AQ246" s="658"/>
      <c r="AR246" s="648"/>
      <c r="AS246" s="658"/>
      <c r="AT246" s="658"/>
      <c r="AU246" s="658"/>
      <c r="AV246" s="658"/>
      <c r="AW246" s="658"/>
      <c r="AX246" s="658"/>
      <c r="AY246" s="658"/>
      <c r="AZ246" s="658"/>
      <c r="BA246" s="658"/>
      <c r="BB246" s="658"/>
      <c r="BC246" s="668"/>
      <c r="BD246" s="658"/>
      <c r="BE246" s="658"/>
      <c r="BF246" s="658"/>
      <c r="BG246" s="658"/>
      <c r="BH246" s="676"/>
      <c r="BI246" s="658"/>
      <c r="BJ246" s="658"/>
      <c r="BK246" s="658"/>
      <c r="BL246" s="658"/>
      <c r="BM246" s="658"/>
      <c r="BN246" s="658"/>
      <c r="BO246" s="675"/>
    </row>
    <row r="247" spans="1:67" s="494" customFormat="1">
      <c r="A247" s="44"/>
      <c r="B247" s="479"/>
      <c r="C247" s="479"/>
      <c r="D247" s="479"/>
      <c r="E247" s="479"/>
      <c r="F247" s="479"/>
      <c r="G247" s="44"/>
      <c r="H247" s="44"/>
      <c r="I247" s="480"/>
      <c r="J247" s="44"/>
      <c r="K247" s="1"/>
      <c r="L247" s="44"/>
      <c r="M247" s="481"/>
      <c r="N247" s="482"/>
      <c r="O247" s="100"/>
      <c r="P247" s="483"/>
      <c r="Q247" s="482"/>
      <c r="R247" s="1"/>
      <c r="S247" s="484"/>
      <c r="T247" s="1"/>
      <c r="U247" s="484"/>
      <c r="V247" s="1"/>
      <c r="W247" s="484"/>
      <c r="X247" s="1"/>
      <c r="Y247" s="484"/>
      <c r="Z247" s="1"/>
      <c r="AA247" s="1"/>
      <c r="AB247" s="1"/>
      <c r="AC247" s="1"/>
      <c r="AD247" s="482"/>
      <c r="AE247" s="485"/>
      <c r="AF247" s="486"/>
      <c r="AG247" s="487"/>
      <c r="AH247" s="487"/>
      <c r="AI247" s="488"/>
      <c r="AJ247" s="489"/>
      <c r="AK247" s="648"/>
      <c r="AL247" s="648"/>
      <c r="AM247" s="648"/>
      <c r="AN247" s="648"/>
      <c r="AO247" s="648"/>
      <c r="AP247" s="648"/>
      <c r="AQ247" s="658"/>
      <c r="AR247" s="648"/>
      <c r="AS247" s="658"/>
      <c r="AT247" s="658"/>
      <c r="AU247" s="658"/>
      <c r="AV247" s="658"/>
      <c r="AW247" s="658"/>
      <c r="AX247" s="658"/>
      <c r="AY247" s="658"/>
      <c r="AZ247" s="658"/>
      <c r="BA247" s="658"/>
      <c r="BB247" s="658"/>
      <c r="BC247" s="668"/>
      <c r="BD247" s="658"/>
      <c r="BE247" s="658"/>
      <c r="BF247" s="658"/>
      <c r="BG247" s="658"/>
      <c r="BH247" s="676"/>
      <c r="BI247" s="658"/>
      <c r="BJ247" s="658"/>
      <c r="BK247" s="658"/>
      <c r="BL247" s="658"/>
      <c r="BM247" s="658"/>
      <c r="BN247" s="658"/>
      <c r="BO247" s="675"/>
    </row>
    <row r="248" spans="1:67" s="494" customFormat="1">
      <c r="A248" s="44"/>
      <c r="B248" s="479"/>
      <c r="C248" s="479"/>
      <c r="D248" s="479"/>
      <c r="E248" s="479"/>
      <c r="F248" s="479"/>
      <c r="G248" s="44"/>
      <c r="H248" s="44"/>
      <c r="I248" s="480"/>
      <c r="J248" s="44"/>
      <c r="K248" s="1"/>
      <c r="L248" s="44"/>
      <c r="M248" s="481"/>
      <c r="N248" s="482"/>
      <c r="O248" s="100"/>
      <c r="P248" s="483"/>
      <c r="Q248" s="482"/>
      <c r="R248" s="1"/>
      <c r="S248" s="484"/>
      <c r="T248" s="1"/>
      <c r="U248" s="484"/>
      <c r="V248" s="1"/>
      <c r="W248" s="484"/>
      <c r="X248" s="1"/>
      <c r="Y248" s="484"/>
      <c r="Z248" s="1"/>
      <c r="AA248" s="1"/>
      <c r="AB248" s="1"/>
      <c r="AC248" s="1"/>
      <c r="AD248" s="482"/>
      <c r="AE248" s="485"/>
      <c r="AF248" s="486"/>
      <c r="AG248" s="487"/>
      <c r="AH248" s="487"/>
      <c r="AI248" s="488"/>
      <c r="AJ248" s="489"/>
      <c r="AK248" s="648"/>
      <c r="AL248" s="648"/>
      <c r="AM248" s="648"/>
      <c r="AN248" s="648"/>
      <c r="AO248" s="648"/>
      <c r="AP248" s="648"/>
      <c r="AQ248" s="658"/>
      <c r="AR248" s="648"/>
      <c r="AS248" s="658"/>
      <c r="AT248" s="658"/>
      <c r="AU248" s="658"/>
      <c r="AV248" s="658"/>
      <c r="AW248" s="658"/>
      <c r="AX248" s="658"/>
      <c r="AY248" s="658"/>
      <c r="AZ248" s="658"/>
      <c r="BA248" s="658"/>
      <c r="BB248" s="658"/>
      <c r="BC248" s="668"/>
      <c r="BD248" s="658"/>
      <c r="BE248" s="658"/>
      <c r="BF248" s="658"/>
      <c r="BG248" s="658"/>
      <c r="BH248" s="676"/>
      <c r="BI248" s="658"/>
      <c r="BJ248" s="658"/>
      <c r="BK248" s="658"/>
      <c r="BL248" s="658"/>
      <c r="BM248" s="658"/>
      <c r="BN248" s="658"/>
      <c r="BO248" s="675"/>
    </row>
    <row r="249" spans="1:67" s="494" customFormat="1">
      <c r="A249" s="44"/>
      <c r="B249" s="479"/>
      <c r="C249" s="479"/>
      <c r="D249" s="479"/>
      <c r="E249" s="479"/>
      <c r="F249" s="479"/>
      <c r="G249" s="44"/>
      <c r="H249" s="44"/>
      <c r="I249" s="480"/>
      <c r="J249" s="44"/>
      <c r="K249" s="1"/>
      <c r="L249" s="44"/>
      <c r="M249" s="481"/>
      <c r="N249" s="482"/>
      <c r="O249" s="100"/>
      <c r="P249" s="483"/>
      <c r="Q249" s="482"/>
      <c r="R249" s="1"/>
      <c r="S249" s="484"/>
      <c r="T249" s="1"/>
      <c r="U249" s="484"/>
      <c r="V249" s="1"/>
      <c r="W249" s="484"/>
      <c r="X249" s="1"/>
      <c r="Y249" s="484"/>
      <c r="Z249" s="1"/>
      <c r="AA249" s="1"/>
      <c r="AB249" s="1"/>
      <c r="AC249" s="1"/>
      <c r="AD249" s="482"/>
      <c r="AE249" s="485"/>
      <c r="AF249" s="486"/>
      <c r="AG249" s="487"/>
      <c r="AH249" s="487"/>
      <c r="AI249" s="488"/>
      <c r="AJ249" s="489"/>
      <c r="AK249" s="648"/>
      <c r="AL249" s="648"/>
      <c r="AM249" s="648"/>
      <c r="AN249" s="648"/>
      <c r="AO249" s="648"/>
      <c r="AP249" s="648"/>
      <c r="AQ249" s="658"/>
      <c r="AR249" s="648"/>
      <c r="AS249" s="658"/>
      <c r="AT249" s="658"/>
      <c r="AU249" s="658"/>
      <c r="AV249" s="658"/>
      <c r="AW249" s="658"/>
      <c r="AX249" s="658"/>
      <c r="AY249" s="658"/>
      <c r="AZ249" s="658"/>
      <c r="BA249" s="658"/>
      <c r="BB249" s="658"/>
      <c r="BC249" s="668"/>
      <c r="BD249" s="658"/>
      <c r="BE249" s="658"/>
      <c r="BF249" s="658"/>
      <c r="BG249" s="658"/>
      <c r="BH249" s="676"/>
      <c r="BI249" s="658"/>
      <c r="BJ249" s="658"/>
      <c r="BK249" s="658"/>
      <c r="BL249" s="658"/>
      <c r="BM249" s="658"/>
      <c r="BN249" s="658"/>
      <c r="BO249" s="675"/>
    </row>
    <row r="250" spans="1:67" s="494" customFormat="1">
      <c r="A250" s="44"/>
      <c r="B250" s="479"/>
      <c r="C250" s="479"/>
      <c r="D250" s="479"/>
      <c r="E250" s="479"/>
      <c r="F250" s="479"/>
      <c r="G250" s="44"/>
      <c r="H250" s="44"/>
      <c r="I250" s="480"/>
      <c r="J250" s="44"/>
      <c r="K250" s="1"/>
      <c r="L250" s="44"/>
      <c r="M250" s="481"/>
      <c r="N250" s="482"/>
      <c r="O250" s="100"/>
      <c r="P250" s="483"/>
      <c r="Q250" s="482"/>
      <c r="R250" s="1"/>
      <c r="S250" s="484"/>
      <c r="T250" s="1"/>
      <c r="U250" s="484"/>
      <c r="V250" s="1"/>
      <c r="W250" s="484"/>
      <c r="X250" s="1"/>
      <c r="Y250" s="484"/>
      <c r="Z250" s="1"/>
      <c r="AA250" s="1"/>
      <c r="AB250" s="1"/>
      <c r="AC250" s="1"/>
      <c r="AD250" s="482"/>
      <c r="AE250" s="485"/>
      <c r="AF250" s="486"/>
      <c r="AG250" s="487"/>
      <c r="AH250" s="487"/>
      <c r="AI250" s="488"/>
      <c r="AJ250" s="489"/>
      <c r="AK250" s="648"/>
      <c r="AL250" s="648"/>
      <c r="AM250" s="648"/>
      <c r="AN250" s="648"/>
      <c r="AO250" s="648"/>
      <c r="AP250" s="648"/>
      <c r="AQ250" s="658"/>
      <c r="AR250" s="648"/>
      <c r="AS250" s="658"/>
      <c r="AT250" s="658"/>
      <c r="AU250" s="658"/>
      <c r="AV250" s="658"/>
      <c r="AW250" s="658"/>
      <c r="AX250" s="658"/>
      <c r="AY250" s="658"/>
      <c r="AZ250" s="658"/>
      <c r="BA250" s="658"/>
      <c r="BB250" s="658"/>
      <c r="BC250" s="668"/>
      <c r="BD250" s="658"/>
      <c r="BE250" s="658"/>
      <c r="BF250" s="658"/>
      <c r="BG250" s="658"/>
      <c r="BH250" s="676"/>
      <c r="BI250" s="658"/>
      <c r="BJ250" s="658"/>
      <c r="BK250" s="658"/>
      <c r="BL250" s="658"/>
      <c r="BM250" s="658"/>
      <c r="BN250" s="658"/>
      <c r="BO250" s="675"/>
    </row>
    <row r="251" spans="1:67" s="494" customFormat="1">
      <c r="A251" s="44"/>
      <c r="B251" s="479"/>
      <c r="C251" s="479"/>
      <c r="D251" s="479"/>
      <c r="E251" s="479"/>
      <c r="F251" s="479"/>
      <c r="G251" s="44"/>
      <c r="H251" s="44"/>
      <c r="I251" s="480"/>
      <c r="J251" s="44"/>
      <c r="K251" s="1"/>
      <c r="L251" s="44"/>
      <c r="M251" s="481"/>
      <c r="N251" s="482"/>
      <c r="O251" s="100"/>
      <c r="P251" s="483"/>
      <c r="Q251" s="482"/>
      <c r="R251" s="1"/>
      <c r="S251" s="484"/>
      <c r="T251" s="1"/>
      <c r="U251" s="484"/>
      <c r="V251" s="1"/>
      <c r="W251" s="484"/>
      <c r="X251" s="1"/>
      <c r="Y251" s="484"/>
      <c r="Z251" s="1"/>
      <c r="AA251" s="1"/>
      <c r="AB251" s="1"/>
      <c r="AC251" s="1"/>
      <c r="AD251" s="482"/>
      <c r="AE251" s="485"/>
      <c r="AF251" s="486"/>
      <c r="AG251" s="487"/>
      <c r="AH251" s="487"/>
      <c r="AI251" s="488"/>
      <c r="AJ251" s="489"/>
      <c r="AK251" s="648"/>
      <c r="AL251" s="648"/>
      <c r="AM251" s="648"/>
      <c r="AN251" s="648"/>
      <c r="AO251" s="648"/>
      <c r="AP251" s="648"/>
      <c r="AQ251" s="658"/>
      <c r="AR251" s="648"/>
      <c r="AS251" s="658"/>
      <c r="AT251" s="658"/>
      <c r="AU251" s="658"/>
      <c r="AV251" s="658"/>
      <c r="AW251" s="658"/>
      <c r="AX251" s="658"/>
      <c r="AY251" s="658"/>
      <c r="AZ251" s="658"/>
      <c r="BA251" s="658"/>
      <c r="BB251" s="658"/>
      <c r="BC251" s="668"/>
      <c r="BD251" s="658"/>
      <c r="BE251" s="658"/>
      <c r="BF251" s="658"/>
      <c r="BG251" s="658"/>
      <c r="BH251" s="676"/>
      <c r="BI251" s="658"/>
      <c r="BJ251" s="658"/>
      <c r="BK251" s="658"/>
      <c r="BL251" s="658"/>
      <c r="BM251" s="658"/>
      <c r="BN251" s="658"/>
      <c r="BO251" s="675"/>
    </row>
    <row r="252" spans="1:67" s="494" customFormat="1">
      <c r="A252" s="44"/>
      <c r="B252" s="479"/>
      <c r="C252" s="479"/>
      <c r="D252" s="479"/>
      <c r="E252" s="479"/>
      <c r="F252" s="479"/>
      <c r="G252" s="44"/>
      <c r="H252" s="44"/>
      <c r="I252" s="480"/>
      <c r="J252" s="44"/>
      <c r="K252" s="1"/>
      <c r="L252" s="44"/>
      <c r="M252" s="481"/>
      <c r="N252" s="482"/>
      <c r="O252" s="100"/>
      <c r="P252" s="483"/>
      <c r="Q252" s="482"/>
      <c r="R252" s="1"/>
      <c r="S252" s="484"/>
      <c r="T252" s="1"/>
      <c r="U252" s="484"/>
      <c r="V252" s="1"/>
      <c r="W252" s="484"/>
      <c r="X252" s="1"/>
      <c r="Y252" s="484"/>
      <c r="Z252" s="1"/>
      <c r="AA252" s="1"/>
      <c r="AB252" s="1"/>
      <c r="AC252" s="1"/>
      <c r="AD252" s="482"/>
      <c r="AE252" s="485"/>
      <c r="AF252" s="486"/>
      <c r="AG252" s="487"/>
      <c r="AH252" s="487"/>
      <c r="AI252" s="488"/>
      <c r="AJ252" s="489"/>
      <c r="AK252" s="648"/>
      <c r="AL252" s="648"/>
      <c r="AM252" s="648"/>
      <c r="AN252" s="648"/>
      <c r="AO252" s="648"/>
      <c r="AP252" s="648"/>
      <c r="AQ252" s="658"/>
      <c r="AR252" s="648"/>
      <c r="AS252" s="658"/>
      <c r="AT252" s="658"/>
      <c r="AU252" s="658"/>
      <c r="AV252" s="658"/>
      <c r="AW252" s="658"/>
      <c r="AX252" s="658"/>
      <c r="AY252" s="658"/>
      <c r="AZ252" s="658"/>
      <c r="BA252" s="658"/>
      <c r="BB252" s="658"/>
      <c r="BC252" s="668"/>
      <c r="BD252" s="658"/>
      <c r="BE252" s="658"/>
      <c r="BF252" s="658"/>
      <c r="BG252" s="658"/>
      <c r="BH252" s="676"/>
      <c r="BI252" s="658"/>
      <c r="BJ252" s="658"/>
      <c r="BK252" s="658"/>
      <c r="BL252" s="658"/>
      <c r="BM252" s="658"/>
      <c r="BN252" s="658"/>
      <c r="BO252" s="675"/>
    </row>
    <row r="253" spans="1:67" s="494" customFormat="1">
      <c r="A253" s="44"/>
      <c r="B253" s="479"/>
      <c r="C253" s="479"/>
      <c r="D253" s="479"/>
      <c r="E253" s="479"/>
      <c r="F253" s="479"/>
      <c r="G253" s="44"/>
      <c r="H253" s="44"/>
      <c r="I253" s="480"/>
      <c r="J253" s="44"/>
      <c r="K253" s="1"/>
      <c r="L253" s="44"/>
      <c r="M253" s="481"/>
      <c r="N253" s="482"/>
      <c r="O253" s="100"/>
      <c r="P253" s="483"/>
      <c r="Q253" s="482"/>
      <c r="R253" s="1"/>
      <c r="S253" s="484"/>
      <c r="T253" s="1"/>
      <c r="U253" s="484"/>
      <c r="V253" s="1"/>
      <c r="W253" s="484"/>
      <c r="X253" s="1"/>
      <c r="Y253" s="484"/>
      <c r="Z253" s="1"/>
      <c r="AA253" s="1"/>
      <c r="AB253" s="1"/>
      <c r="AC253" s="1"/>
      <c r="AD253" s="482"/>
      <c r="AE253" s="485"/>
      <c r="AF253" s="486"/>
      <c r="AG253" s="487"/>
      <c r="AH253" s="487"/>
      <c r="AI253" s="488"/>
      <c r="AJ253" s="489"/>
      <c r="AK253" s="648"/>
      <c r="AL253" s="648"/>
      <c r="AM253" s="648"/>
      <c r="AN253" s="648"/>
      <c r="AO253" s="648"/>
      <c r="AP253" s="648"/>
      <c r="AQ253" s="658"/>
      <c r="AR253" s="648"/>
      <c r="AS253" s="658"/>
      <c r="AT253" s="658"/>
      <c r="AU253" s="658"/>
      <c r="AV253" s="658"/>
      <c r="AW253" s="658"/>
      <c r="AX253" s="658"/>
      <c r="AY253" s="658"/>
      <c r="AZ253" s="658"/>
      <c r="BA253" s="658"/>
      <c r="BB253" s="658"/>
      <c r="BC253" s="668"/>
      <c r="BD253" s="658"/>
      <c r="BE253" s="658"/>
      <c r="BF253" s="658"/>
      <c r="BG253" s="658"/>
      <c r="BH253" s="676"/>
      <c r="BI253" s="658"/>
      <c r="BJ253" s="658"/>
      <c r="BK253" s="658"/>
      <c r="BL253" s="658"/>
      <c r="BM253" s="658"/>
      <c r="BN253" s="658"/>
      <c r="BO253" s="675"/>
    </row>
    <row r="254" spans="1:67" s="494" customFormat="1">
      <c r="A254" s="44"/>
      <c r="B254" s="479"/>
      <c r="C254" s="479"/>
      <c r="D254" s="479"/>
      <c r="E254" s="479"/>
      <c r="F254" s="479"/>
      <c r="G254" s="44"/>
      <c r="H254" s="44"/>
      <c r="I254" s="480"/>
      <c r="J254" s="44"/>
      <c r="K254" s="1"/>
      <c r="L254" s="44"/>
      <c r="M254" s="481"/>
      <c r="N254" s="482"/>
      <c r="O254" s="100"/>
      <c r="P254" s="483"/>
      <c r="Q254" s="482"/>
      <c r="R254" s="1"/>
      <c r="S254" s="484"/>
      <c r="T254" s="1"/>
      <c r="U254" s="484"/>
      <c r="V254" s="1"/>
      <c r="W254" s="484"/>
      <c r="X254" s="1"/>
      <c r="Y254" s="484"/>
      <c r="Z254" s="1"/>
      <c r="AA254" s="1"/>
      <c r="AB254" s="1"/>
      <c r="AC254" s="1"/>
      <c r="AD254" s="482"/>
      <c r="AE254" s="485"/>
      <c r="AF254" s="486"/>
      <c r="AG254" s="487"/>
      <c r="AH254" s="487"/>
      <c r="AI254" s="488"/>
      <c r="AJ254" s="489"/>
      <c r="AK254" s="648"/>
      <c r="AL254" s="648"/>
      <c r="AM254" s="648"/>
      <c r="AN254" s="648"/>
      <c r="AO254" s="648"/>
      <c r="AP254" s="648"/>
      <c r="AQ254" s="658"/>
      <c r="AR254" s="648"/>
      <c r="AS254" s="658"/>
      <c r="AT254" s="658"/>
      <c r="AU254" s="658"/>
      <c r="AV254" s="658"/>
      <c r="AW254" s="658"/>
      <c r="AX254" s="658"/>
      <c r="AY254" s="658"/>
      <c r="AZ254" s="658"/>
      <c r="BA254" s="658"/>
      <c r="BB254" s="658"/>
      <c r="BC254" s="668"/>
      <c r="BD254" s="658"/>
      <c r="BE254" s="658"/>
      <c r="BF254" s="658"/>
      <c r="BG254" s="658"/>
      <c r="BH254" s="676"/>
      <c r="BI254" s="658"/>
      <c r="BJ254" s="658"/>
      <c r="BK254" s="658"/>
      <c r="BL254" s="658"/>
      <c r="BM254" s="658"/>
      <c r="BN254" s="658"/>
      <c r="BO254" s="675"/>
    </row>
    <row r="255" spans="1:67" s="494" customFormat="1">
      <c r="A255" s="44"/>
      <c r="B255" s="479"/>
      <c r="C255" s="479"/>
      <c r="D255" s="479"/>
      <c r="E255" s="479"/>
      <c r="F255" s="479"/>
      <c r="G255" s="44"/>
      <c r="H255" s="44"/>
      <c r="I255" s="480"/>
      <c r="J255" s="44"/>
      <c r="K255" s="1"/>
      <c r="L255" s="44"/>
      <c r="M255" s="481"/>
      <c r="N255" s="482"/>
      <c r="O255" s="100"/>
      <c r="P255" s="483"/>
      <c r="Q255" s="482"/>
      <c r="R255" s="1"/>
      <c r="S255" s="484"/>
      <c r="T255" s="1"/>
      <c r="U255" s="484"/>
      <c r="V255" s="1"/>
      <c r="W255" s="484"/>
      <c r="X255" s="1"/>
      <c r="Y255" s="484"/>
      <c r="Z255" s="1"/>
      <c r="AA255" s="1"/>
      <c r="AB255" s="1"/>
      <c r="AC255" s="1"/>
      <c r="AD255" s="482"/>
      <c r="AE255" s="485"/>
      <c r="AF255" s="486"/>
      <c r="AG255" s="487"/>
      <c r="AH255" s="487"/>
      <c r="AI255" s="488"/>
      <c r="AJ255" s="489"/>
      <c r="AK255" s="648"/>
      <c r="AL255" s="648"/>
      <c r="AM255" s="648"/>
      <c r="AN255" s="648"/>
      <c r="AO255" s="648"/>
      <c r="AP255" s="648"/>
      <c r="AQ255" s="658"/>
      <c r="AR255" s="648"/>
      <c r="AS255" s="658"/>
      <c r="AT255" s="658"/>
      <c r="AU255" s="658"/>
      <c r="AV255" s="658"/>
      <c r="AW255" s="658"/>
      <c r="AX255" s="658"/>
      <c r="AY255" s="658"/>
      <c r="AZ255" s="658"/>
      <c r="BA255" s="658"/>
      <c r="BB255" s="658"/>
      <c r="BC255" s="668"/>
      <c r="BD255" s="658"/>
      <c r="BE255" s="658"/>
      <c r="BF255" s="658"/>
      <c r="BG255" s="658"/>
      <c r="BH255" s="676"/>
      <c r="BI255" s="658"/>
      <c r="BJ255" s="658"/>
      <c r="BK255" s="658"/>
      <c r="BL255" s="658"/>
      <c r="BM255" s="658"/>
      <c r="BN255" s="658"/>
      <c r="BO255" s="675"/>
    </row>
    <row r="256" spans="1:67" s="494" customFormat="1">
      <c r="A256" s="44"/>
      <c r="B256" s="479"/>
      <c r="C256" s="479"/>
      <c r="D256" s="479"/>
      <c r="E256" s="479"/>
      <c r="F256" s="479"/>
      <c r="G256" s="44"/>
      <c r="H256" s="44"/>
      <c r="I256" s="480"/>
      <c r="J256" s="44"/>
      <c r="K256" s="1"/>
      <c r="L256" s="44"/>
      <c r="M256" s="481"/>
      <c r="N256" s="482"/>
      <c r="O256" s="100"/>
      <c r="P256" s="483"/>
      <c r="Q256" s="482"/>
      <c r="R256" s="1"/>
      <c r="S256" s="484"/>
      <c r="T256" s="1"/>
      <c r="U256" s="484"/>
      <c r="V256" s="1"/>
      <c r="W256" s="484"/>
      <c r="X256" s="1"/>
      <c r="Y256" s="484"/>
      <c r="Z256" s="1"/>
      <c r="AA256" s="1"/>
      <c r="AB256" s="1"/>
      <c r="AC256" s="1"/>
      <c r="AD256" s="482"/>
      <c r="AE256" s="485"/>
      <c r="AF256" s="486"/>
      <c r="AG256" s="487"/>
      <c r="AH256" s="487"/>
      <c r="AI256" s="488"/>
      <c r="AJ256" s="489"/>
      <c r="AK256" s="648"/>
      <c r="AL256" s="648"/>
      <c r="AM256" s="648"/>
      <c r="AN256" s="648"/>
      <c r="AO256" s="648"/>
      <c r="AP256" s="648"/>
      <c r="AQ256" s="658"/>
      <c r="AR256" s="648"/>
      <c r="AS256" s="658"/>
      <c r="AT256" s="658"/>
      <c r="AU256" s="658"/>
      <c r="AV256" s="658"/>
      <c r="AW256" s="658"/>
      <c r="AX256" s="658"/>
      <c r="AY256" s="658"/>
      <c r="AZ256" s="658"/>
      <c r="BA256" s="658"/>
      <c r="BB256" s="658"/>
      <c r="BC256" s="668"/>
      <c r="BD256" s="658"/>
      <c r="BE256" s="658"/>
      <c r="BF256" s="658"/>
      <c r="BG256" s="658"/>
      <c r="BH256" s="676"/>
      <c r="BI256" s="658"/>
      <c r="BJ256" s="658"/>
      <c r="BK256" s="658"/>
      <c r="BL256" s="658"/>
      <c r="BM256" s="658"/>
      <c r="BN256" s="658"/>
      <c r="BO256" s="675"/>
    </row>
    <row r="257" spans="1:67" s="494" customFormat="1">
      <c r="A257" s="44"/>
      <c r="B257" s="479"/>
      <c r="C257" s="479"/>
      <c r="D257" s="479"/>
      <c r="E257" s="479"/>
      <c r="F257" s="479"/>
      <c r="G257" s="44"/>
      <c r="H257" s="44"/>
      <c r="I257" s="480"/>
      <c r="J257" s="44"/>
      <c r="K257" s="1"/>
      <c r="L257" s="44"/>
      <c r="M257" s="481"/>
      <c r="N257" s="482"/>
      <c r="O257" s="100"/>
      <c r="P257" s="483"/>
      <c r="Q257" s="482"/>
      <c r="R257" s="1"/>
      <c r="S257" s="484"/>
      <c r="T257" s="1"/>
      <c r="U257" s="484"/>
      <c r="V257" s="1"/>
      <c r="W257" s="484"/>
      <c r="X257" s="1"/>
      <c r="Y257" s="484"/>
      <c r="Z257" s="1"/>
      <c r="AA257" s="1"/>
      <c r="AB257" s="1"/>
      <c r="AC257" s="1"/>
      <c r="AD257" s="482"/>
      <c r="AE257" s="485"/>
      <c r="AF257" s="486"/>
      <c r="AG257" s="487"/>
      <c r="AH257" s="487"/>
      <c r="AI257" s="488"/>
      <c r="AJ257" s="489"/>
      <c r="AK257" s="648"/>
      <c r="AL257" s="648"/>
      <c r="AM257" s="648"/>
      <c r="AN257" s="648"/>
      <c r="AO257" s="648"/>
      <c r="AP257" s="648"/>
      <c r="AQ257" s="658"/>
      <c r="AR257" s="648"/>
      <c r="AS257" s="658"/>
      <c r="AT257" s="658"/>
      <c r="AU257" s="658"/>
      <c r="AV257" s="658"/>
      <c r="AW257" s="658"/>
      <c r="AX257" s="658"/>
      <c r="AY257" s="658"/>
      <c r="AZ257" s="658"/>
      <c r="BA257" s="658"/>
      <c r="BB257" s="658"/>
      <c r="BC257" s="668"/>
      <c r="BD257" s="658"/>
      <c r="BE257" s="658"/>
      <c r="BF257" s="658"/>
      <c r="BG257" s="658"/>
      <c r="BH257" s="676"/>
      <c r="BI257" s="658"/>
      <c r="BJ257" s="658"/>
      <c r="BK257" s="658"/>
      <c r="BL257" s="658"/>
      <c r="BM257" s="658"/>
      <c r="BN257" s="658"/>
      <c r="BO257" s="675"/>
    </row>
    <row r="258" spans="1:67" s="494" customFormat="1">
      <c r="A258" s="44"/>
      <c r="B258" s="479"/>
      <c r="C258" s="479"/>
      <c r="D258" s="479"/>
      <c r="E258" s="479"/>
      <c r="F258" s="479"/>
      <c r="G258" s="44"/>
      <c r="H258" s="44"/>
      <c r="I258" s="480"/>
      <c r="J258" s="44"/>
      <c r="K258" s="1"/>
      <c r="L258" s="44"/>
      <c r="M258" s="481"/>
      <c r="N258" s="482"/>
      <c r="O258" s="100"/>
      <c r="P258" s="483"/>
      <c r="Q258" s="482"/>
      <c r="R258" s="1"/>
      <c r="S258" s="484"/>
      <c r="T258" s="1"/>
      <c r="U258" s="484"/>
      <c r="V258" s="1"/>
      <c r="W258" s="484"/>
      <c r="X258" s="1"/>
      <c r="Y258" s="484"/>
      <c r="Z258" s="1"/>
      <c r="AA258" s="1"/>
      <c r="AB258" s="1"/>
      <c r="AC258" s="1"/>
      <c r="AD258" s="482"/>
      <c r="AE258" s="485"/>
      <c r="AF258" s="486"/>
      <c r="AG258" s="487"/>
      <c r="AH258" s="487"/>
      <c r="AI258" s="488"/>
      <c r="AJ258" s="489"/>
      <c r="AK258" s="648"/>
      <c r="AL258" s="648"/>
      <c r="AM258" s="648"/>
      <c r="AN258" s="648"/>
      <c r="AO258" s="648"/>
      <c r="AP258" s="648"/>
      <c r="AQ258" s="658"/>
      <c r="AR258" s="648"/>
      <c r="AS258" s="658"/>
      <c r="AT258" s="658"/>
      <c r="AU258" s="658"/>
      <c r="AV258" s="658"/>
      <c r="AW258" s="658"/>
      <c r="AX258" s="658"/>
      <c r="AY258" s="658"/>
      <c r="AZ258" s="658"/>
      <c r="BA258" s="658"/>
      <c r="BB258" s="658"/>
      <c r="BC258" s="668"/>
      <c r="BD258" s="658"/>
      <c r="BE258" s="658"/>
      <c r="BF258" s="658"/>
      <c r="BG258" s="658"/>
      <c r="BH258" s="676"/>
      <c r="BI258" s="658"/>
      <c r="BJ258" s="658"/>
      <c r="BK258" s="658"/>
      <c r="BL258" s="658"/>
      <c r="BM258" s="658"/>
      <c r="BN258" s="658"/>
      <c r="BO258" s="675"/>
    </row>
    <row r="259" spans="1:67" s="494" customFormat="1">
      <c r="A259" s="44"/>
      <c r="B259" s="479"/>
      <c r="C259" s="479"/>
      <c r="D259" s="479"/>
      <c r="E259" s="479"/>
      <c r="F259" s="479"/>
      <c r="G259" s="44"/>
      <c r="H259" s="44"/>
      <c r="I259" s="480"/>
      <c r="J259" s="44"/>
      <c r="K259" s="1"/>
      <c r="L259" s="44"/>
      <c r="M259" s="481"/>
      <c r="N259" s="482"/>
      <c r="O259" s="100"/>
      <c r="P259" s="483"/>
      <c r="Q259" s="482"/>
      <c r="R259" s="1"/>
      <c r="S259" s="484"/>
      <c r="T259" s="1"/>
      <c r="U259" s="484"/>
      <c r="V259" s="1"/>
      <c r="W259" s="484"/>
      <c r="X259" s="1"/>
      <c r="Y259" s="484"/>
      <c r="Z259" s="1"/>
      <c r="AA259" s="1"/>
      <c r="AB259" s="1"/>
      <c r="AC259" s="1"/>
      <c r="AD259" s="482"/>
      <c r="AE259" s="485"/>
      <c r="AF259" s="486"/>
      <c r="AG259" s="487"/>
      <c r="AH259" s="487"/>
      <c r="AI259" s="488"/>
      <c r="AJ259" s="489"/>
      <c r="AK259" s="648"/>
      <c r="AL259" s="648"/>
      <c r="AM259" s="648"/>
      <c r="AN259" s="648"/>
      <c r="AO259" s="648"/>
      <c r="AP259" s="648"/>
      <c r="AQ259" s="658"/>
      <c r="AR259" s="648"/>
      <c r="AS259" s="658"/>
      <c r="AT259" s="658"/>
      <c r="AU259" s="658"/>
      <c r="AV259" s="658"/>
      <c r="AW259" s="658"/>
      <c r="AX259" s="658"/>
      <c r="AY259" s="658"/>
      <c r="AZ259" s="658"/>
      <c r="BA259" s="658"/>
      <c r="BB259" s="658"/>
      <c r="BC259" s="668"/>
      <c r="BD259" s="658"/>
      <c r="BE259" s="658"/>
      <c r="BF259" s="658"/>
      <c r="BG259" s="658"/>
      <c r="BH259" s="676"/>
      <c r="BI259" s="658"/>
      <c r="BJ259" s="658"/>
      <c r="BK259" s="658"/>
      <c r="BL259" s="658"/>
      <c r="BM259" s="658"/>
      <c r="BN259" s="658"/>
      <c r="BO259" s="675"/>
    </row>
    <row r="260" spans="1:67" s="494" customFormat="1">
      <c r="A260" s="44"/>
      <c r="B260" s="479"/>
      <c r="C260" s="479"/>
      <c r="D260" s="479"/>
      <c r="E260" s="479"/>
      <c r="F260" s="479"/>
      <c r="G260" s="44"/>
      <c r="H260" s="44"/>
      <c r="I260" s="480"/>
      <c r="J260" s="44"/>
      <c r="K260" s="1"/>
      <c r="L260" s="44"/>
      <c r="M260" s="481"/>
      <c r="N260" s="482"/>
      <c r="O260" s="100"/>
      <c r="P260" s="483"/>
      <c r="Q260" s="482"/>
      <c r="R260" s="1"/>
      <c r="S260" s="484"/>
      <c r="T260" s="1"/>
      <c r="U260" s="484"/>
      <c r="V260" s="1"/>
      <c r="W260" s="484"/>
      <c r="X260" s="1"/>
      <c r="Y260" s="484"/>
      <c r="Z260" s="1"/>
      <c r="AA260" s="1"/>
      <c r="AB260" s="1"/>
      <c r="AC260" s="1"/>
      <c r="AD260" s="482"/>
      <c r="AE260" s="485"/>
      <c r="AF260" s="486"/>
      <c r="AG260" s="487"/>
      <c r="AH260" s="487"/>
      <c r="AI260" s="488"/>
      <c r="AJ260" s="489"/>
      <c r="AK260" s="648"/>
      <c r="AL260" s="648"/>
      <c r="AM260" s="648"/>
      <c r="AN260" s="648"/>
      <c r="AO260" s="648"/>
      <c r="AP260" s="648"/>
      <c r="AQ260" s="658"/>
      <c r="AR260" s="648"/>
      <c r="AS260" s="658"/>
      <c r="AT260" s="658"/>
      <c r="AU260" s="658"/>
      <c r="AV260" s="658"/>
      <c r="AW260" s="658"/>
      <c r="AX260" s="658"/>
      <c r="AY260" s="658"/>
      <c r="AZ260" s="658"/>
      <c r="BA260" s="658"/>
      <c r="BB260" s="658"/>
      <c r="BC260" s="668"/>
      <c r="BD260" s="658"/>
      <c r="BE260" s="658"/>
      <c r="BF260" s="658"/>
      <c r="BG260" s="658"/>
      <c r="BH260" s="676"/>
      <c r="BI260" s="658"/>
      <c r="BJ260" s="658"/>
      <c r="BK260" s="658"/>
      <c r="BL260" s="658"/>
      <c r="BM260" s="658"/>
      <c r="BN260" s="658"/>
      <c r="BO260" s="675"/>
    </row>
    <row r="261" spans="1:67" s="494" customFormat="1">
      <c r="A261" s="44"/>
      <c r="B261" s="479"/>
      <c r="C261" s="479"/>
      <c r="D261" s="479"/>
      <c r="E261" s="479"/>
      <c r="F261" s="479"/>
      <c r="G261" s="44"/>
      <c r="H261" s="44"/>
      <c r="I261" s="480"/>
      <c r="J261" s="44"/>
      <c r="K261" s="1"/>
      <c r="L261" s="44"/>
      <c r="M261" s="481"/>
      <c r="N261" s="482"/>
      <c r="O261" s="100"/>
      <c r="P261" s="483"/>
      <c r="Q261" s="482"/>
      <c r="R261" s="1"/>
      <c r="S261" s="484"/>
      <c r="T261" s="1"/>
      <c r="U261" s="484"/>
      <c r="V261" s="1"/>
      <c r="W261" s="484"/>
      <c r="X261" s="1"/>
      <c r="Y261" s="484"/>
      <c r="Z261" s="1"/>
      <c r="AA261" s="1"/>
      <c r="AB261" s="1"/>
      <c r="AC261" s="1"/>
      <c r="AD261" s="482"/>
      <c r="AE261" s="485"/>
      <c r="AF261" s="486"/>
      <c r="AG261" s="487"/>
      <c r="AH261" s="487"/>
      <c r="AI261" s="488"/>
      <c r="AJ261" s="489"/>
      <c r="AK261" s="648"/>
      <c r="AL261" s="648"/>
      <c r="AM261" s="648"/>
      <c r="AN261" s="648"/>
      <c r="AO261" s="648"/>
      <c r="AP261" s="648"/>
      <c r="AQ261" s="658"/>
      <c r="AR261" s="648"/>
      <c r="AS261" s="658"/>
      <c r="AT261" s="658"/>
      <c r="AU261" s="658"/>
      <c r="AV261" s="658"/>
      <c r="AW261" s="658"/>
      <c r="AX261" s="658"/>
      <c r="AY261" s="658"/>
      <c r="AZ261" s="658"/>
      <c r="BA261" s="658"/>
      <c r="BB261" s="658"/>
      <c r="BC261" s="668"/>
      <c r="BD261" s="658"/>
      <c r="BE261" s="658"/>
      <c r="BF261" s="658"/>
      <c r="BG261" s="658"/>
      <c r="BH261" s="676"/>
      <c r="BI261" s="658"/>
      <c r="BJ261" s="658"/>
      <c r="BK261" s="658"/>
      <c r="BL261" s="658"/>
      <c r="BM261" s="658"/>
      <c r="BN261" s="658"/>
      <c r="BO261" s="675"/>
    </row>
    <row r="262" spans="1:67" s="494" customFormat="1">
      <c r="A262" s="44"/>
      <c r="B262" s="479"/>
      <c r="C262" s="479"/>
      <c r="D262" s="479"/>
      <c r="E262" s="479"/>
      <c r="F262" s="479"/>
      <c r="G262" s="44"/>
      <c r="H262" s="44"/>
      <c r="I262" s="480"/>
      <c r="J262" s="44"/>
      <c r="K262" s="1"/>
      <c r="L262" s="44"/>
      <c r="M262" s="481"/>
      <c r="N262" s="482"/>
      <c r="O262" s="100"/>
      <c r="P262" s="483"/>
      <c r="Q262" s="482"/>
      <c r="R262" s="1"/>
      <c r="S262" s="484"/>
      <c r="T262" s="1"/>
      <c r="U262" s="484"/>
      <c r="V262" s="1"/>
      <c r="W262" s="484"/>
      <c r="X262" s="1"/>
      <c r="Y262" s="484"/>
      <c r="Z262" s="1"/>
      <c r="AA262" s="1"/>
      <c r="AB262" s="1"/>
      <c r="AC262" s="1"/>
      <c r="AD262" s="482"/>
      <c r="AE262" s="485"/>
      <c r="AF262" s="486"/>
      <c r="AG262" s="487"/>
      <c r="AH262" s="487"/>
      <c r="AI262" s="488"/>
      <c r="AJ262" s="489"/>
      <c r="AK262" s="648"/>
      <c r="AL262" s="648"/>
      <c r="AM262" s="648"/>
      <c r="AN262" s="648"/>
      <c r="AO262" s="648"/>
      <c r="AP262" s="648"/>
      <c r="AQ262" s="658"/>
      <c r="AR262" s="648"/>
      <c r="AS262" s="658"/>
      <c r="AT262" s="658"/>
      <c r="AU262" s="658"/>
      <c r="AV262" s="658"/>
      <c r="AW262" s="658"/>
      <c r="AX262" s="658"/>
      <c r="AY262" s="658"/>
      <c r="AZ262" s="658"/>
      <c r="BA262" s="658"/>
      <c r="BB262" s="658"/>
      <c r="BC262" s="668"/>
      <c r="BD262" s="658"/>
      <c r="BE262" s="658"/>
      <c r="BF262" s="658"/>
      <c r="BG262" s="658"/>
      <c r="BH262" s="676"/>
      <c r="BI262" s="658"/>
      <c r="BJ262" s="658"/>
      <c r="BK262" s="658"/>
      <c r="BL262" s="658"/>
      <c r="BM262" s="658"/>
      <c r="BN262" s="658"/>
      <c r="BO262" s="675"/>
    </row>
    <row r="263" spans="1:67" s="494" customFormat="1">
      <c r="A263" s="44"/>
      <c r="B263" s="479"/>
      <c r="C263" s="479"/>
      <c r="D263" s="479"/>
      <c r="E263" s="479"/>
      <c r="F263" s="479"/>
      <c r="G263" s="44"/>
      <c r="H263" s="44"/>
      <c r="I263" s="480"/>
      <c r="J263" s="44"/>
      <c r="K263" s="1"/>
      <c r="L263" s="44"/>
      <c r="M263" s="481"/>
      <c r="N263" s="482"/>
      <c r="O263" s="100"/>
      <c r="P263" s="483"/>
      <c r="Q263" s="482"/>
      <c r="R263" s="1"/>
      <c r="S263" s="484"/>
      <c r="T263" s="1"/>
      <c r="U263" s="484"/>
      <c r="V263" s="1"/>
      <c r="W263" s="484"/>
      <c r="X263" s="1"/>
      <c r="Y263" s="484"/>
      <c r="Z263" s="1"/>
      <c r="AA263" s="1"/>
      <c r="AB263" s="1"/>
      <c r="AC263" s="1"/>
      <c r="AD263" s="482"/>
      <c r="AE263" s="485"/>
      <c r="AF263" s="486"/>
      <c r="AG263" s="487"/>
      <c r="AH263" s="487"/>
      <c r="AI263" s="488"/>
      <c r="AJ263" s="489"/>
      <c r="AK263" s="648"/>
      <c r="AL263" s="648"/>
      <c r="AM263" s="648"/>
      <c r="AN263" s="648"/>
      <c r="AO263" s="648"/>
      <c r="AP263" s="648"/>
      <c r="AQ263" s="658"/>
      <c r="AR263" s="648"/>
      <c r="AS263" s="658"/>
      <c r="AT263" s="658"/>
      <c r="AU263" s="658"/>
      <c r="AV263" s="658"/>
      <c r="AW263" s="658"/>
      <c r="AX263" s="658"/>
      <c r="AY263" s="658"/>
      <c r="AZ263" s="658"/>
      <c r="BA263" s="658"/>
      <c r="BB263" s="658"/>
      <c r="BC263" s="668"/>
      <c r="BD263" s="658"/>
      <c r="BE263" s="658"/>
      <c r="BF263" s="658"/>
      <c r="BG263" s="658"/>
      <c r="BH263" s="676"/>
      <c r="BI263" s="658"/>
      <c r="BJ263" s="658"/>
      <c r="BK263" s="658"/>
      <c r="BL263" s="658"/>
      <c r="BM263" s="658"/>
      <c r="BN263" s="658"/>
      <c r="BO263" s="675"/>
    </row>
    <row r="264" spans="1:67" s="494" customFormat="1">
      <c r="A264" s="44"/>
      <c r="B264" s="479"/>
      <c r="C264" s="479"/>
      <c r="D264" s="479"/>
      <c r="E264" s="479"/>
      <c r="F264" s="479"/>
      <c r="G264" s="44"/>
      <c r="H264" s="44"/>
      <c r="I264" s="480"/>
      <c r="J264" s="44"/>
      <c r="K264" s="1"/>
      <c r="L264" s="44"/>
      <c r="M264" s="481"/>
      <c r="N264" s="482"/>
      <c r="O264" s="100"/>
      <c r="P264" s="483"/>
      <c r="Q264" s="482"/>
      <c r="R264" s="1"/>
      <c r="S264" s="484"/>
      <c r="T264" s="1"/>
      <c r="U264" s="484"/>
      <c r="V264" s="1"/>
      <c r="W264" s="484"/>
      <c r="X264" s="1"/>
      <c r="Y264" s="484"/>
      <c r="Z264" s="1"/>
      <c r="AA264" s="1"/>
      <c r="AB264" s="1"/>
      <c r="AC264" s="1"/>
      <c r="AD264" s="482"/>
      <c r="AE264" s="485"/>
      <c r="AF264" s="486"/>
      <c r="AG264" s="487"/>
      <c r="AH264" s="487"/>
      <c r="AI264" s="488"/>
      <c r="AJ264" s="489"/>
      <c r="AK264" s="648"/>
      <c r="AL264" s="648"/>
      <c r="AM264" s="648"/>
      <c r="AN264" s="648"/>
      <c r="AO264" s="648"/>
      <c r="AP264" s="648"/>
      <c r="AQ264" s="658"/>
      <c r="AR264" s="648"/>
      <c r="AS264" s="658"/>
      <c r="AT264" s="658"/>
      <c r="AU264" s="658"/>
      <c r="AV264" s="658"/>
      <c r="AW264" s="658"/>
      <c r="AX264" s="658"/>
      <c r="AY264" s="658"/>
      <c r="AZ264" s="658"/>
      <c r="BA264" s="658"/>
      <c r="BB264" s="658"/>
      <c r="BC264" s="668"/>
      <c r="BD264" s="658"/>
      <c r="BE264" s="658"/>
      <c r="BF264" s="658"/>
      <c r="BG264" s="658"/>
      <c r="BH264" s="676"/>
      <c r="BI264" s="658"/>
      <c r="BJ264" s="658"/>
      <c r="BK264" s="658"/>
      <c r="BL264" s="658"/>
      <c r="BM264" s="658"/>
      <c r="BN264" s="658"/>
      <c r="BO264" s="675"/>
    </row>
    <row r="265" spans="1:67" s="494" customFormat="1">
      <c r="A265" s="44"/>
      <c r="B265" s="479"/>
      <c r="C265" s="479"/>
      <c r="D265" s="479"/>
      <c r="E265" s="479"/>
      <c r="F265" s="479"/>
      <c r="G265" s="44"/>
      <c r="H265" s="44"/>
      <c r="I265" s="480"/>
      <c r="J265" s="44"/>
      <c r="K265" s="1"/>
      <c r="L265" s="44"/>
      <c r="M265" s="481"/>
      <c r="N265" s="482"/>
      <c r="O265" s="100"/>
      <c r="P265" s="483"/>
      <c r="Q265" s="482"/>
      <c r="R265" s="1"/>
      <c r="S265" s="484"/>
      <c r="T265" s="1"/>
      <c r="U265" s="484"/>
      <c r="V265" s="1"/>
      <c r="W265" s="484"/>
      <c r="X265" s="1"/>
      <c r="Y265" s="484"/>
      <c r="Z265" s="1"/>
      <c r="AA265" s="1"/>
      <c r="AB265" s="1"/>
      <c r="AC265" s="1"/>
      <c r="AD265" s="482"/>
      <c r="AE265" s="485"/>
      <c r="AF265" s="486"/>
      <c r="AG265" s="487"/>
      <c r="AH265" s="487"/>
      <c r="AI265" s="488"/>
      <c r="AJ265" s="489"/>
      <c r="AK265" s="648"/>
      <c r="AL265" s="648"/>
      <c r="AM265" s="648"/>
      <c r="AN265" s="648"/>
      <c r="AO265" s="648"/>
      <c r="AP265" s="648"/>
      <c r="AQ265" s="658"/>
      <c r="AR265" s="648"/>
      <c r="AS265" s="658"/>
      <c r="AT265" s="658"/>
      <c r="AU265" s="658"/>
      <c r="AV265" s="658"/>
      <c r="AW265" s="658"/>
      <c r="AX265" s="658"/>
      <c r="AY265" s="658"/>
      <c r="AZ265" s="658"/>
      <c r="BA265" s="658"/>
      <c r="BB265" s="658"/>
      <c r="BC265" s="668"/>
      <c r="BD265" s="658"/>
      <c r="BE265" s="658"/>
      <c r="BF265" s="658"/>
      <c r="BG265" s="658"/>
      <c r="BH265" s="676"/>
      <c r="BI265" s="658"/>
      <c r="BJ265" s="658"/>
      <c r="BK265" s="658"/>
      <c r="BL265" s="658"/>
      <c r="BM265" s="658"/>
      <c r="BN265" s="658"/>
      <c r="BO265" s="675"/>
    </row>
    <row r="266" spans="1:67" s="494" customFormat="1">
      <c r="A266" s="44"/>
      <c r="B266" s="479"/>
      <c r="C266" s="479"/>
      <c r="D266" s="479"/>
      <c r="E266" s="479"/>
      <c r="F266" s="479"/>
      <c r="G266" s="44"/>
      <c r="H266" s="44"/>
      <c r="I266" s="480"/>
      <c r="J266" s="44"/>
      <c r="K266" s="1"/>
      <c r="L266" s="44"/>
      <c r="M266" s="481"/>
      <c r="N266" s="482"/>
      <c r="O266" s="100"/>
      <c r="P266" s="483"/>
      <c r="Q266" s="482"/>
      <c r="R266" s="1"/>
      <c r="S266" s="484"/>
      <c r="T266" s="1"/>
      <c r="U266" s="484"/>
      <c r="V266" s="1"/>
      <c r="W266" s="484"/>
      <c r="X266" s="1"/>
      <c r="Y266" s="484"/>
      <c r="Z266" s="1"/>
      <c r="AA266" s="1"/>
      <c r="AB266" s="1"/>
      <c r="AC266" s="1"/>
      <c r="AD266" s="482"/>
      <c r="AE266" s="485"/>
      <c r="AF266" s="486"/>
      <c r="AG266" s="487"/>
      <c r="AH266" s="487"/>
      <c r="AI266" s="488"/>
      <c r="AJ266" s="489"/>
      <c r="AK266" s="648"/>
      <c r="AL266" s="648"/>
      <c r="AM266" s="648"/>
      <c r="AN266" s="648"/>
      <c r="AO266" s="648"/>
      <c r="AP266" s="648"/>
      <c r="AQ266" s="658"/>
      <c r="AR266" s="648"/>
      <c r="AS266" s="658"/>
      <c r="AT266" s="658"/>
      <c r="AU266" s="658"/>
      <c r="AV266" s="658"/>
      <c r="AW266" s="658"/>
      <c r="AX266" s="658"/>
      <c r="AY266" s="658"/>
      <c r="AZ266" s="658"/>
      <c r="BA266" s="658"/>
      <c r="BB266" s="658"/>
      <c r="BC266" s="668"/>
      <c r="BD266" s="658"/>
      <c r="BE266" s="658"/>
      <c r="BF266" s="658"/>
      <c r="BG266" s="658"/>
      <c r="BH266" s="676"/>
      <c r="BI266" s="658"/>
      <c r="BJ266" s="658"/>
      <c r="BK266" s="658"/>
      <c r="BL266" s="658"/>
      <c r="BM266" s="658"/>
      <c r="BN266" s="658"/>
      <c r="BO266" s="675"/>
    </row>
    <row r="267" spans="1:67" s="494" customFormat="1">
      <c r="A267" s="44"/>
      <c r="B267" s="479"/>
      <c r="C267" s="479"/>
      <c r="D267" s="479"/>
      <c r="E267" s="479"/>
      <c r="F267" s="479"/>
      <c r="G267" s="44"/>
      <c r="H267" s="44"/>
      <c r="I267" s="480"/>
      <c r="J267" s="44"/>
      <c r="K267" s="1"/>
      <c r="L267" s="44"/>
      <c r="M267" s="481"/>
      <c r="N267" s="482"/>
      <c r="O267" s="100"/>
      <c r="P267" s="483"/>
      <c r="Q267" s="482"/>
      <c r="R267" s="1"/>
      <c r="S267" s="484"/>
      <c r="T267" s="1"/>
      <c r="U267" s="484"/>
      <c r="V267" s="1"/>
      <c r="W267" s="484"/>
      <c r="X267" s="1"/>
      <c r="Y267" s="484"/>
      <c r="Z267" s="1"/>
      <c r="AA267" s="1"/>
      <c r="AB267" s="1"/>
      <c r="AC267" s="1"/>
      <c r="AD267" s="482"/>
      <c r="AE267" s="485"/>
      <c r="AF267" s="486"/>
      <c r="AG267" s="487"/>
      <c r="AH267" s="487"/>
      <c r="AI267" s="488"/>
      <c r="AJ267" s="489"/>
      <c r="AK267" s="648"/>
      <c r="AL267" s="648"/>
      <c r="AM267" s="648"/>
      <c r="AN267" s="648"/>
      <c r="AO267" s="648"/>
      <c r="AP267" s="648"/>
      <c r="AQ267" s="658"/>
      <c r="AR267" s="648"/>
      <c r="AS267" s="658"/>
      <c r="AT267" s="658"/>
      <c r="AU267" s="658"/>
      <c r="AV267" s="658"/>
      <c r="AW267" s="658"/>
      <c r="AX267" s="658"/>
      <c r="AY267" s="658"/>
      <c r="AZ267" s="658"/>
      <c r="BA267" s="658"/>
      <c r="BB267" s="658"/>
      <c r="BC267" s="668"/>
      <c r="BD267" s="658"/>
      <c r="BE267" s="658"/>
      <c r="BF267" s="658"/>
      <c r="BG267" s="658"/>
      <c r="BH267" s="676"/>
      <c r="BI267" s="658"/>
      <c r="BJ267" s="658"/>
      <c r="BK267" s="658"/>
      <c r="BL267" s="658"/>
      <c r="BM267" s="658"/>
      <c r="BN267" s="658"/>
      <c r="BO267" s="675"/>
    </row>
    <row r="268" spans="1:67" s="494" customFormat="1">
      <c r="A268" s="44"/>
      <c r="B268" s="479"/>
      <c r="C268" s="479"/>
      <c r="D268" s="479"/>
      <c r="E268" s="479"/>
      <c r="F268" s="479"/>
      <c r="G268" s="44"/>
      <c r="H268" s="44"/>
      <c r="I268" s="480"/>
      <c r="J268" s="44"/>
      <c r="K268" s="1"/>
      <c r="L268" s="44"/>
      <c r="M268" s="481"/>
      <c r="N268" s="482"/>
      <c r="O268" s="100"/>
      <c r="P268" s="483"/>
      <c r="Q268" s="482"/>
      <c r="R268" s="1"/>
      <c r="S268" s="484"/>
      <c r="T268" s="1"/>
      <c r="U268" s="484"/>
      <c r="V268" s="1"/>
      <c r="W268" s="484"/>
      <c r="X268" s="1"/>
      <c r="Y268" s="484"/>
      <c r="Z268" s="1"/>
      <c r="AA268" s="1"/>
      <c r="AB268" s="1"/>
      <c r="AC268" s="1"/>
      <c r="AD268" s="482"/>
      <c r="AE268" s="485"/>
      <c r="AF268" s="486"/>
      <c r="AG268" s="487"/>
      <c r="AH268" s="487"/>
      <c r="AI268" s="488"/>
      <c r="AJ268" s="489"/>
      <c r="AK268" s="648"/>
      <c r="AL268" s="648"/>
      <c r="AM268" s="648"/>
      <c r="AN268" s="648"/>
      <c r="AO268" s="648"/>
      <c r="AP268" s="648"/>
      <c r="AQ268" s="658"/>
      <c r="AR268" s="648"/>
      <c r="AS268" s="658"/>
      <c r="AT268" s="658"/>
      <c r="AU268" s="658"/>
      <c r="AV268" s="658"/>
      <c r="AW268" s="658"/>
      <c r="AX268" s="658"/>
      <c r="AY268" s="658"/>
      <c r="AZ268" s="658"/>
      <c r="BA268" s="658"/>
      <c r="BB268" s="658"/>
      <c r="BC268" s="668"/>
      <c r="BD268" s="658"/>
      <c r="BE268" s="658"/>
      <c r="BF268" s="658"/>
      <c r="BG268" s="658"/>
      <c r="BH268" s="676"/>
      <c r="BI268" s="658"/>
      <c r="BJ268" s="658"/>
      <c r="BK268" s="658"/>
      <c r="BL268" s="658"/>
      <c r="BM268" s="658"/>
      <c r="BN268" s="658"/>
      <c r="BO268" s="675"/>
    </row>
    <row r="269" spans="1:67" s="494" customFormat="1">
      <c r="A269" s="44"/>
      <c r="B269" s="479"/>
      <c r="C269" s="479"/>
      <c r="D269" s="479"/>
      <c r="E269" s="479"/>
      <c r="F269" s="479"/>
      <c r="G269" s="44"/>
      <c r="H269" s="44"/>
      <c r="I269" s="480"/>
      <c r="J269" s="44"/>
      <c r="K269" s="1"/>
      <c r="L269" s="44"/>
      <c r="M269" s="481"/>
      <c r="N269" s="482"/>
      <c r="O269" s="100"/>
      <c r="P269" s="483"/>
      <c r="Q269" s="482"/>
      <c r="R269" s="1"/>
      <c r="S269" s="484"/>
      <c r="T269" s="1"/>
      <c r="U269" s="484"/>
      <c r="V269" s="1"/>
      <c r="W269" s="484"/>
      <c r="X269" s="1"/>
      <c r="Y269" s="484"/>
      <c r="Z269" s="1"/>
      <c r="AA269" s="1"/>
      <c r="AB269" s="1"/>
      <c r="AC269" s="1"/>
      <c r="AD269" s="482"/>
      <c r="AE269" s="485"/>
      <c r="AF269" s="486"/>
      <c r="AG269" s="487"/>
      <c r="AH269" s="487"/>
      <c r="AI269" s="488"/>
      <c r="AJ269" s="489"/>
      <c r="AK269" s="648"/>
      <c r="AL269" s="648"/>
      <c r="AM269" s="648"/>
      <c r="AN269" s="648"/>
      <c r="AO269" s="648"/>
      <c r="AP269" s="648"/>
      <c r="AQ269" s="658"/>
      <c r="AR269" s="648"/>
      <c r="AS269" s="658"/>
      <c r="AT269" s="658"/>
      <c r="AU269" s="658"/>
      <c r="AV269" s="658"/>
      <c r="AW269" s="658"/>
      <c r="AX269" s="658"/>
      <c r="AY269" s="658"/>
      <c r="AZ269" s="658"/>
      <c r="BA269" s="658"/>
      <c r="BB269" s="658"/>
      <c r="BC269" s="668"/>
      <c r="BD269" s="658"/>
      <c r="BE269" s="658"/>
      <c r="BF269" s="658"/>
      <c r="BG269" s="658"/>
      <c r="BH269" s="676"/>
      <c r="BI269" s="658"/>
      <c r="BJ269" s="658"/>
      <c r="BK269" s="658"/>
      <c r="BL269" s="658"/>
      <c r="BM269" s="658"/>
      <c r="BN269" s="658"/>
      <c r="BO269" s="675"/>
    </row>
    <row r="270" spans="1:67" s="494" customFormat="1">
      <c r="A270" s="44"/>
      <c r="B270" s="479"/>
      <c r="C270" s="479"/>
      <c r="D270" s="479"/>
      <c r="E270" s="479"/>
      <c r="F270" s="479"/>
      <c r="G270" s="44"/>
      <c r="H270" s="44"/>
      <c r="I270" s="480"/>
      <c r="J270" s="44"/>
      <c r="K270" s="1"/>
      <c r="L270" s="44"/>
      <c r="M270" s="481"/>
      <c r="N270" s="482"/>
      <c r="O270" s="100"/>
      <c r="P270" s="483"/>
      <c r="Q270" s="482"/>
      <c r="R270" s="1"/>
      <c r="S270" s="484"/>
      <c r="T270" s="1"/>
      <c r="U270" s="484"/>
      <c r="V270" s="1"/>
      <c r="W270" s="484"/>
      <c r="X270" s="1"/>
      <c r="Y270" s="484"/>
      <c r="Z270" s="1"/>
      <c r="AA270" s="1"/>
      <c r="AB270" s="1"/>
      <c r="AC270" s="1"/>
      <c r="AD270" s="482"/>
      <c r="AE270" s="485"/>
      <c r="AF270" s="486"/>
      <c r="AG270" s="487"/>
      <c r="AH270" s="487"/>
      <c r="AI270" s="488"/>
      <c r="AJ270" s="489"/>
      <c r="AK270" s="648"/>
      <c r="AL270" s="648"/>
      <c r="AM270" s="648"/>
      <c r="AN270" s="648"/>
      <c r="AO270" s="648"/>
      <c r="AP270" s="648"/>
      <c r="AQ270" s="658"/>
      <c r="AR270" s="648"/>
      <c r="AS270" s="658"/>
      <c r="AT270" s="658"/>
      <c r="AU270" s="658"/>
      <c r="AV270" s="658"/>
      <c r="AW270" s="658"/>
      <c r="AX270" s="658"/>
      <c r="AY270" s="658"/>
      <c r="AZ270" s="658"/>
      <c r="BA270" s="658"/>
      <c r="BB270" s="658"/>
      <c r="BC270" s="668"/>
      <c r="BD270" s="658"/>
      <c r="BE270" s="658"/>
      <c r="BF270" s="658"/>
      <c r="BG270" s="658"/>
      <c r="BH270" s="676"/>
      <c r="BI270" s="658"/>
      <c r="BJ270" s="658"/>
      <c r="BK270" s="658"/>
      <c r="BL270" s="658"/>
      <c r="BM270" s="658"/>
      <c r="BN270" s="658"/>
      <c r="BO270" s="675"/>
    </row>
    <row r="271" spans="1:67" s="494" customFormat="1">
      <c r="A271" s="44"/>
      <c r="B271" s="479"/>
      <c r="C271" s="479"/>
      <c r="D271" s="479"/>
      <c r="E271" s="479"/>
      <c r="F271" s="479"/>
      <c r="G271" s="44"/>
      <c r="H271" s="44"/>
      <c r="I271" s="480"/>
      <c r="J271" s="44"/>
      <c r="K271" s="1"/>
      <c r="L271" s="44"/>
      <c r="M271" s="481"/>
      <c r="N271" s="482"/>
      <c r="O271" s="100"/>
      <c r="P271" s="483"/>
      <c r="Q271" s="482"/>
      <c r="R271" s="1"/>
      <c r="S271" s="484"/>
      <c r="T271" s="1"/>
      <c r="U271" s="484"/>
      <c r="V271" s="1"/>
      <c r="W271" s="484"/>
      <c r="X271" s="1"/>
      <c r="Y271" s="484"/>
      <c r="Z271" s="1"/>
      <c r="AA271" s="1"/>
      <c r="AB271" s="1"/>
      <c r="AC271" s="1"/>
      <c r="AD271" s="482"/>
      <c r="AE271" s="485"/>
      <c r="AF271" s="486"/>
      <c r="AG271" s="487"/>
      <c r="AH271" s="487"/>
      <c r="AI271" s="488"/>
      <c r="AJ271" s="489"/>
      <c r="AK271" s="648"/>
      <c r="AL271" s="648"/>
      <c r="AM271" s="648"/>
      <c r="AN271" s="648"/>
      <c r="AO271" s="648"/>
      <c r="AP271" s="648"/>
      <c r="AQ271" s="658"/>
      <c r="AR271" s="648"/>
      <c r="AS271" s="658"/>
      <c r="AT271" s="658"/>
      <c r="AU271" s="658"/>
      <c r="AV271" s="658"/>
      <c r="AW271" s="658"/>
      <c r="AX271" s="658"/>
      <c r="AY271" s="658"/>
      <c r="AZ271" s="658"/>
      <c r="BA271" s="658"/>
      <c r="BB271" s="658"/>
      <c r="BC271" s="668"/>
      <c r="BD271" s="658"/>
      <c r="BE271" s="658"/>
      <c r="BF271" s="658"/>
      <c r="BG271" s="658"/>
      <c r="BH271" s="676"/>
      <c r="BI271" s="658"/>
      <c r="BJ271" s="658"/>
      <c r="BK271" s="658"/>
      <c r="BL271" s="658"/>
      <c r="BM271" s="658"/>
      <c r="BN271" s="658"/>
      <c r="BO271" s="675"/>
    </row>
    <row r="272" spans="1:67" s="494" customFormat="1">
      <c r="A272" s="44"/>
      <c r="B272" s="479"/>
      <c r="C272" s="479"/>
      <c r="D272" s="479"/>
      <c r="E272" s="479"/>
      <c r="F272" s="479"/>
      <c r="G272" s="44"/>
      <c r="H272" s="44"/>
      <c r="I272" s="480"/>
      <c r="J272" s="44"/>
      <c r="K272" s="1"/>
      <c r="L272" s="44"/>
      <c r="M272" s="481"/>
      <c r="N272" s="482"/>
      <c r="O272" s="100"/>
      <c r="P272" s="483"/>
      <c r="Q272" s="482"/>
      <c r="R272" s="1"/>
      <c r="S272" s="484"/>
      <c r="T272" s="1"/>
      <c r="U272" s="484"/>
      <c r="V272" s="1"/>
      <c r="W272" s="484"/>
      <c r="X272" s="1"/>
      <c r="Y272" s="484"/>
      <c r="Z272" s="1"/>
      <c r="AA272" s="1"/>
      <c r="AB272" s="1"/>
      <c r="AC272" s="1"/>
      <c r="AD272" s="482"/>
      <c r="AE272" s="485"/>
      <c r="AF272" s="486"/>
      <c r="AG272" s="487"/>
      <c r="AH272" s="487"/>
      <c r="AI272" s="488"/>
      <c r="AJ272" s="489"/>
      <c r="AK272" s="648"/>
      <c r="AL272" s="648"/>
      <c r="AM272" s="648"/>
      <c r="AN272" s="648"/>
      <c r="AO272" s="648"/>
      <c r="AP272" s="648"/>
      <c r="AQ272" s="658"/>
      <c r="AR272" s="648"/>
      <c r="AS272" s="658"/>
      <c r="AT272" s="658"/>
      <c r="AU272" s="658"/>
      <c r="AV272" s="658"/>
      <c r="AW272" s="658"/>
      <c r="AX272" s="658"/>
      <c r="AY272" s="658"/>
      <c r="AZ272" s="658"/>
      <c r="BA272" s="658"/>
      <c r="BB272" s="658"/>
      <c r="BC272" s="668"/>
      <c r="BD272" s="658"/>
      <c r="BE272" s="658"/>
      <c r="BF272" s="658"/>
      <c r="BG272" s="658"/>
      <c r="BH272" s="676"/>
      <c r="BI272" s="658"/>
      <c r="BJ272" s="658"/>
      <c r="BK272" s="658"/>
      <c r="BL272" s="658"/>
      <c r="BM272" s="658"/>
      <c r="BN272" s="658"/>
      <c r="BO272" s="675"/>
    </row>
    <row r="273" spans="1:67" s="494" customFormat="1">
      <c r="A273" s="44"/>
      <c r="B273" s="479"/>
      <c r="C273" s="479"/>
      <c r="D273" s="479"/>
      <c r="E273" s="479"/>
      <c r="F273" s="479"/>
      <c r="G273" s="44"/>
      <c r="H273" s="44"/>
      <c r="I273" s="480"/>
      <c r="J273" s="44"/>
      <c r="K273" s="1"/>
      <c r="L273" s="44"/>
      <c r="M273" s="481"/>
      <c r="N273" s="482"/>
      <c r="O273" s="100"/>
      <c r="P273" s="483"/>
      <c r="Q273" s="482"/>
      <c r="R273" s="1"/>
      <c r="S273" s="484"/>
      <c r="T273" s="1"/>
      <c r="U273" s="484"/>
      <c r="V273" s="1"/>
      <c r="W273" s="484"/>
      <c r="X273" s="1"/>
      <c r="Y273" s="484"/>
      <c r="Z273" s="1"/>
      <c r="AA273" s="1"/>
      <c r="AB273" s="1"/>
      <c r="AC273" s="1"/>
      <c r="AD273" s="482"/>
      <c r="AE273" s="485"/>
      <c r="AF273" s="486"/>
      <c r="AG273" s="487"/>
      <c r="AH273" s="487"/>
      <c r="AI273" s="488"/>
      <c r="AJ273" s="489"/>
      <c r="AK273" s="648"/>
      <c r="AL273" s="648"/>
      <c r="AM273" s="648"/>
      <c r="AN273" s="648"/>
      <c r="AO273" s="648"/>
      <c r="AP273" s="648"/>
      <c r="AQ273" s="658"/>
      <c r="AR273" s="648"/>
      <c r="AS273" s="658"/>
      <c r="AT273" s="658"/>
      <c r="AU273" s="658"/>
      <c r="AV273" s="658"/>
      <c r="AW273" s="658"/>
      <c r="AX273" s="658"/>
      <c r="AY273" s="658"/>
      <c r="AZ273" s="658"/>
      <c r="BA273" s="658"/>
      <c r="BB273" s="658"/>
      <c r="BC273" s="668"/>
      <c r="BD273" s="658"/>
      <c r="BE273" s="658"/>
      <c r="BF273" s="658"/>
      <c r="BG273" s="658"/>
      <c r="BH273" s="676"/>
      <c r="BI273" s="658"/>
      <c r="BJ273" s="658"/>
      <c r="BK273" s="658"/>
      <c r="BL273" s="658"/>
      <c r="BM273" s="658"/>
      <c r="BN273" s="658"/>
      <c r="BO273" s="675"/>
    </row>
    <row r="274" spans="1:67" s="494" customFormat="1">
      <c r="A274" s="44"/>
      <c r="B274" s="479"/>
      <c r="C274" s="479"/>
      <c r="D274" s="479"/>
      <c r="E274" s="479"/>
      <c r="F274" s="479"/>
      <c r="G274" s="44"/>
      <c r="H274" s="44"/>
      <c r="I274" s="480"/>
      <c r="J274" s="44"/>
      <c r="K274" s="1"/>
      <c r="L274" s="44"/>
      <c r="M274" s="481"/>
      <c r="N274" s="482"/>
      <c r="O274" s="100"/>
      <c r="P274" s="483"/>
      <c r="Q274" s="482"/>
      <c r="R274" s="1"/>
      <c r="S274" s="484"/>
      <c r="T274" s="1"/>
      <c r="U274" s="484"/>
      <c r="V274" s="1"/>
      <c r="W274" s="484"/>
      <c r="X274" s="1"/>
      <c r="Y274" s="484"/>
      <c r="Z274" s="1"/>
      <c r="AA274" s="1"/>
      <c r="AB274" s="1"/>
      <c r="AC274" s="1"/>
      <c r="AD274" s="482"/>
      <c r="AE274" s="485"/>
      <c r="AF274" s="486"/>
      <c r="AG274" s="487"/>
      <c r="AH274" s="487"/>
      <c r="AI274" s="488"/>
      <c r="AJ274" s="489"/>
      <c r="AK274" s="648"/>
      <c r="AL274" s="648"/>
      <c r="AM274" s="648"/>
      <c r="AN274" s="648"/>
      <c r="AO274" s="648"/>
      <c r="AP274" s="648"/>
      <c r="AQ274" s="658"/>
      <c r="AR274" s="648"/>
      <c r="AS274" s="658"/>
      <c r="AT274" s="658"/>
      <c r="AU274" s="658"/>
      <c r="AV274" s="658"/>
      <c r="AW274" s="658"/>
      <c r="AX274" s="658"/>
      <c r="AY274" s="658"/>
      <c r="AZ274" s="658"/>
      <c r="BA274" s="658"/>
      <c r="BB274" s="658"/>
      <c r="BC274" s="668"/>
      <c r="BD274" s="658"/>
      <c r="BE274" s="658"/>
      <c r="BF274" s="658"/>
      <c r="BG274" s="658"/>
      <c r="BH274" s="676"/>
      <c r="BI274" s="658"/>
      <c r="BJ274" s="658"/>
      <c r="BK274" s="658"/>
      <c r="BL274" s="658"/>
      <c r="BM274" s="658"/>
      <c r="BN274" s="658"/>
      <c r="BO274" s="675"/>
    </row>
    <row r="275" spans="1:67" s="494" customFormat="1">
      <c r="A275" s="44"/>
      <c r="B275" s="479"/>
      <c r="C275" s="479"/>
      <c r="D275" s="479"/>
      <c r="E275" s="479"/>
      <c r="F275" s="479"/>
      <c r="G275" s="44"/>
      <c r="H275" s="44"/>
      <c r="I275" s="480"/>
      <c r="J275" s="44"/>
      <c r="K275" s="1"/>
      <c r="L275" s="44"/>
      <c r="M275" s="481"/>
      <c r="N275" s="482"/>
      <c r="O275" s="100"/>
      <c r="P275" s="483"/>
      <c r="Q275" s="482"/>
      <c r="R275" s="1"/>
      <c r="S275" s="484"/>
      <c r="T275" s="1"/>
      <c r="U275" s="484"/>
      <c r="V275" s="1"/>
      <c r="W275" s="484"/>
      <c r="X275" s="1"/>
      <c r="Y275" s="484"/>
      <c r="Z275" s="1"/>
      <c r="AA275" s="1"/>
      <c r="AB275" s="1"/>
      <c r="AC275" s="1"/>
      <c r="AD275" s="482"/>
      <c r="AE275" s="485"/>
      <c r="AF275" s="486"/>
      <c r="AG275" s="487"/>
      <c r="AH275" s="487"/>
      <c r="AI275" s="488"/>
      <c r="AJ275" s="489"/>
      <c r="AK275" s="648"/>
      <c r="AL275" s="648"/>
      <c r="AM275" s="648"/>
      <c r="AN275" s="648"/>
      <c r="AO275" s="648"/>
      <c r="AP275" s="648"/>
      <c r="AQ275" s="658"/>
      <c r="AR275" s="648"/>
      <c r="AS275" s="658"/>
      <c r="AT275" s="658"/>
      <c r="AU275" s="658"/>
      <c r="AV275" s="658"/>
      <c r="AW275" s="658"/>
      <c r="AX275" s="658"/>
      <c r="AY275" s="658"/>
      <c r="AZ275" s="658"/>
      <c r="BA275" s="658"/>
      <c r="BB275" s="658"/>
      <c r="BC275" s="668"/>
      <c r="BD275" s="658"/>
      <c r="BE275" s="658"/>
      <c r="BF275" s="658"/>
      <c r="BG275" s="658"/>
      <c r="BH275" s="676"/>
      <c r="BI275" s="658"/>
      <c r="BJ275" s="658"/>
      <c r="BK275" s="658"/>
      <c r="BL275" s="658"/>
      <c r="BM275" s="658"/>
      <c r="BN275" s="658"/>
      <c r="BO275" s="675"/>
    </row>
    <row r="276" spans="1:67" s="494" customFormat="1">
      <c r="A276" s="44"/>
      <c r="B276" s="479"/>
      <c r="C276" s="479"/>
      <c r="D276" s="479"/>
      <c r="E276" s="479"/>
      <c r="F276" s="479"/>
      <c r="G276" s="44"/>
      <c r="H276" s="44"/>
      <c r="I276" s="480"/>
      <c r="J276" s="44"/>
      <c r="K276" s="1"/>
      <c r="L276" s="44"/>
      <c r="M276" s="481"/>
      <c r="N276" s="482"/>
      <c r="O276" s="100"/>
      <c r="P276" s="483"/>
      <c r="Q276" s="482"/>
      <c r="R276" s="1"/>
      <c r="S276" s="484"/>
      <c r="T276" s="1"/>
      <c r="U276" s="484"/>
      <c r="V276" s="1"/>
      <c r="W276" s="484"/>
      <c r="X276" s="1"/>
      <c r="Y276" s="484"/>
      <c r="Z276" s="1"/>
      <c r="AA276" s="1"/>
      <c r="AB276" s="1"/>
      <c r="AC276" s="1"/>
      <c r="AD276" s="482"/>
      <c r="AE276" s="485"/>
      <c r="AF276" s="486"/>
      <c r="AG276" s="487"/>
      <c r="AH276" s="487"/>
      <c r="AI276" s="488"/>
      <c r="AJ276" s="489"/>
      <c r="AK276" s="648"/>
      <c r="AL276" s="648"/>
      <c r="AM276" s="648"/>
      <c r="AN276" s="648"/>
      <c r="AO276" s="648"/>
      <c r="AP276" s="648"/>
      <c r="AQ276" s="658"/>
      <c r="AR276" s="648"/>
      <c r="AS276" s="658"/>
      <c r="AT276" s="658"/>
      <c r="AU276" s="658"/>
      <c r="AV276" s="658"/>
      <c r="AW276" s="658"/>
      <c r="AX276" s="658"/>
      <c r="AY276" s="658"/>
      <c r="AZ276" s="658"/>
      <c r="BA276" s="658"/>
      <c r="BB276" s="658"/>
      <c r="BC276" s="668"/>
      <c r="BD276" s="658"/>
      <c r="BE276" s="658"/>
      <c r="BF276" s="658"/>
      <c r="BG276" s="658"/>
      <c r="BH276" s="676"/>
      <c r="BI276" s="658"/>
      <c r="BJ276" s="658"/>
      <c r="BK276" s="658"/>
      <c r="BL276" s="658"/>
      <c r="BM276" s="658"/>
      <c r="BN276" s="658"/>
      <c r="BO276" s="675"/>
    </row>
    <row r="277" spans="1:67" s="494" customFormat="1">
      <c r="A277" s="44"/>
      <c r="B277" s="479"/>
      <c r="C277" s="479"/>
      <c r="D277" s="479"/>
      <c r="E277" s="479"/>
      <c r="F277" s="479"/>
      <c r="G277" s="44"/>
      <c r="H277" s="44"/>
      <c r="I277" s="480"/>
      <c r="J277" s="44"/>
      <c r="K277" s="1"/>
      <c r="L277" s="44"/>
      <c r="M277" s="481"/>
      <c r="N277" s="482"/>
      <c r="O277" s="100"/>
      <c r="P277" s="483"/>
      <c r="Q277" s="482"/>
      <c r="R277" s="1"/>
      <c r="S277" s="484"/>
      <c r="T277" s="1"/>
      <c r="U277" s="484"/>
      <c r="V277" s="1"/>
      <c r="W277" s="484"/>
      <c r="X277" s="1"/>
      <c r="Y277" s="484"/>
      <c r="Z277" s="1"/>
      <c r="AA277" s="1"/>
      <c r="AB277" s="1"/>
      <c r="AC277" s="1"/>
      <c r="AD277" s="482"/>
      <c r="AE277" s="485"/>
      <c r="AF277" s="486"/>
      <c r="AG277" s="487"/>
      <c r="AH277" s="487"/>
      <c r="AI277" s="488"/>
      <c r="AJ277" s="489"/>
      <c r="AK277" s="648"/>
      <c r="AL277" s="648"/>
      <c r="AM277" s="648"/>
      <c r="AN277" s="648"/>
      <c r="AO277" s="648"/>
      <c r="AP277" s="648"/>
      <c r="AQ277" s="658"/>
      <c r="AR277" s="648"/>
      <c r="AS277" s="658"/>
      <c r="AT277" s="658"/>
      <c r="AU277" s="658"/>
      <c r="AV277" s="658"/>
      <c r="AW277" s="658"/>
      <c r="AX277" s="658"/>
      <c r="AY277" s="658"/>
      <c r="AZ277" s="658"/>
      <c r="BA277" s="658"/>
      <c r="BB277" s="658"/>
      <c r="BC277" s="668"/>
      <c r="BD277" s="658"/>
      <c r="BE277" s="658"/>
      <c r="BF277" s="658"/>
      <c r="BG277" s="658"/>
      <c r="BH277" s="676"/>
      <c r="BI277" s="658"/>
      <c r="BJ277" s="658"/>
      <c r="BK277" s="658"/>
      <c r="BL277" s="658"/>
      <c r="BM277" s="658"/>
      <c r="BN277" s="658"/>
      <c r="BO277" s="675"/>
    </row>
    <row r="278" spans="1:67" s="494" customFormat="1">
      <c r="A278" s="44"/>
      <c r="B278" s="479"/>
      <c r="C278" s="479"/>
      <c r="D278" s="479"/>
      <c r="E278" s="479"/>
      <c r="F278" s="479"/>
      <c r="G278" s="44"/>
      <c r="H278" s="44"/>
      <c r="I278" s="480"/>
      <c r="J278" s="44"/>
      <c r="K278" s="1"/>
      <c r="L278" s="44"/>
      <c r="M278" s="481"/>
      <c r="N278" s="482"/>
      <c r="O278" s="100"/>
      <c r="P278" s="483"/>
      <c r="Q278" s="482"/>
      <c r="R278" s="1"/>
      <c r="S278" s="484"/>
      <c r="T278" s="1"/>
      <c r="U278" s="484"/>
      <c r="V278" s="1"/>
      <c r="W278" s="484"/>
      <c r="X278" s="1"/>
      <c r="Y278" s="484"/>
      <c r="Z278" s="1"/>
      <c r="AA278" s="1"/>
      <c r="AB278" s="1"/>
      <c r="AC278" s="1"/>
      <c r="AD278" s="482"/>
      <c r="AE278" s="485"/>
      <c r="AF278" s="486"/>
      <c r="AG278" s="487"/>
      <c r="AH278" s="487"/>
      <c r="AI278" s="488"/>
      <c r="AJ278" s="489"/>
      <c r="AK278" s="648"/>
      <c r="AL278" s="648"/>
      <c r="AM278" s="648"/>
      <c r="AN278" s="648"/>
      <c r="AO278" s="648"/>
      <c r="AP278" s="648"/>
      <c r="AQ278" s="658"/>
      <c r="AR278" s="648"/>
      <c r="AS278" s="658"/>
      <c r="AT278" s="658"/>
      <c r="AU278" s="658"/>
      <c r="AV278" s="658"/>
      <c r="AW278" s="658"/>
      <c r="AX278" s="658"/>
      <c r="AY278" s="658"/>
      <c r="AZ278" s="658"/>
      <c r="BA278" s="658"/>
      <c r="BB278" s="658"/>
      <c r="BC278" s="668"/>
      <c r="BD278" s="658"/>
      <c r="BE278" s="658"/>
      <c r="BF278" s="658"/>
      <c r="BG278" s="658"/>
      <c r="BH278" s="676"/>
      <c r="BI278" s="658"/>
      <c r="BJ278" s="658"/>
      <c r="BK278" s="658"/>
      <c r="BL278" s="658"/>
      <c r="BM278" s="658"/>
      <c r="BN278" s="658"/>
      <c r="BO278" s="675"/>
    </row>
    <row r="279" spans="1:67" s="494" customFormat="1">
      <c r="A279" s="44"/>
      <c r="B279" s="479"/>
      <c r="C279" s="479"/>
      <c r="D279" s="479"/>
      <c r="E279" s="479"/>
      <c r="F279" s="479"/>
      <c r="G279" s="44"/>
      <c r="H279" s="44"/>
      <c r="I279" s="480"/>
      <c r="J279" s="44"/>
      <c r="K279" s="1"/>
      <c r="L279" s="44"/>
      <c r="M279" s="481"/>
      <c r="N279" s="482"/>
      <c r="O279" s="100"/>
      <c r="P279" s="483"/>
      <c r="Q279" s="482"/>
      <c r="R279" s="1"/>
      <c r="S279" s="484"/>
      <c r="T279" s="1"/>
      <c r="U279" s="484"/>
      <c r="V279" s="1"/>
      <c r="W279" s="484"/>
      <c r="X279" s="1"/>
      <c r="Y279" s="484"/>
      <c r="Z279" s="1"/>
      <c r="AA279" s="1"/>
      <c r="AB279" s="1"/>
      <c r="AC279" s="1"/>
      <c r="AD279" s="482"/>
      <c r="AE279" s="485"/>
      <c r="AF279" s="486"/>
      <c r="AG279" s="487"/>
      <c r="AH279" s="487"/>
      <c r="AI279" s="488"/>
      <c r="AJ279" s="489"/>
      <c r="AK279" s="648"/>
      <c r="AL279" s="648"/>
      <c r="AM279" s="648"/>
      <c r="AN279" s="648"/>
      <c r="AO279" s="648"/>
      <c r="AP279" s="648"/>
      <c r="AQ279" s="658"/>
      <c r="AR279" s="648"/>
      <c r="AS279" s="658"/>
      <c r="AT279" s="658"/>
      <c r="AU279" s="658"/>
      <c r="AV279" s="658"/>
      <c r="AW279" s="658"/>
      <c r="AX279" s="658"/>
      <c r="AY279" s="658"/>
      <c r="AZ279" s="658"/>
      <c r="BA279" s="658"/>
      <c r="BB279" s="658"/>
      <c r="BC279" s="668"/>
      <c r="BD279" s="658"/>
      <c r="BE279" s="658"/>
      <c r="BF279" s="658"/>
      <c r="BG279" s="658"/>
      <c r="BH279" s="676"/>
      <c r="BI279" s="658"/>
      <c r="BJ279" s="658"/>
      <c r="BK279" s="658"/>
      <c r="BL279" s="658"/>
      <c r="BM279" s="658"/>
      <c r="BN279" s="658"/>
      <c r="BO279" s="675"/>
    </row>
    <row r="280" spans="1:67" s="494" customFormat="1">
      <c r="A280" s="44"/>
      <c r="B280" s="479"/>
      <c r="C280" s="479"/>
      <c r="D280" s="479"/>
      <c r="E280" s="479"/>
      <c r="F280" s="479"/>
      <c r="G280" s="44"/>
      <c r="H280" s="44"/>
      <c r="I280" s="480"/>
      <c r="J280" s="44"/>
      <c r="K280" s="1"/>
      <c r="L280" s="44"/>
      <c r="M280" s="481"/>
      <c r="N280" s="482"/>
      <c r="O280" s="100"/>
      <c r="P280" s="483"/>
      <c r="Q280" s="482"/>
      <c r="R280" s="1"/>
      <c r="S280" s="484"/>
      <c r="T280" s="1"/>
      <c r="U280" s="484"/>
      <c r="V280" s="1"/>
      <c r="W280" s="484"/>
      <c r="X280" s="1"/>
      <c r="Y280" s="484"/>
      <c r="Z280" s="1"/>
      <c r="AA280" s="1"/>
      <c r="AB280" s="1"/>
      <c r="AC280" s="1"/>
      <c r="AD280" s="482"/>
      <c r="AE280" s="485"/>
      <c r="AF280" s="486"/>
      <c r="AG280" s="487"/>
      <c r="AH280" s="487"/>
      <c r="AI280" s="488"/>
      <c r="AJ280" s="489"/>
      <c r="AK280" s="648"/>
      <c r="AL280" s="648"/>
      <c r="AM280" s="648"/>
      <c r="AN280" s="648"/>
      <c r="AO280" s="648"/>
      <c r="AP280" s="648"/>
      <c r="AQ280" s="658"/>
      <c r="AR280" s="648"/>
      <c r="AS280" s="658"/>
      <c r="AT280" s="658"/>
      <c r="AU280" s="658"/>
      <c r="AV280" s="658"/>
      <c r="AW280" s="658"/>
      <c r="AX280" s="658"/>
      <c r="AY280" s="658"/>
      <c r="AZ280" s="658"/>
      <c r="BA280" s="658"/>
      <c r="BB280" s="658"/>
      <c r="BC280" s="668"/>
      <c r="BD280" s="658"/>
      <c r="BE280" s="658"/>
      <c r="BF280" s="658"/>
      <c r="BG280" s="658"/>
      <c r="BH280" s="676"/>
      <c r="BI280" s="658"/>
      <c r="BJ280" s="658"/>
      <c r="BK280" s="658"/>
      <c r="BL280" s="658"/>
      <c r="BM280" s="658"/>
      <c r="BN280" s="658"/>
      <c r="BO280" s="675"/>
    </row>
    <row r="281" spans="1:67" s="494" customFormat="1">
      <c r="A281" s="44"/>
      <c r="B281" s="479"/>
      <c r="C281" s="479"/>
      <c r="D281" s="479"/>
      <c r="E281" s="479"/>
      <c r="F281" s="479"/>
      <c r="G281" s="44"/>
      <c r="H281" s="44"/>
      <c r="I281" s="480"/>
      <c r="J281" s="44"/>
      <c r="K281" s="1"/>
      <c r="L281" s="44"/>
      <c r="M281" s="481"/>
      <c r="N281" s="482"/>
      <c r="O281" s="100"/>
      <c r="P281" s="483"/>
      <c r="Q281" s="482"/>
      <c r="R281" s="1"/>
      <c r="S281" s="484"/>
      <c r="T281" s="1"/>
      <c r="U281" s="484"/>
      <c r="V281" s="1"/>
      <c r="W281" s="484"/>
      <c r="X281" s="1"/>
      <c r="Y281" s="484"/>
      <c r="Z281" s="1"/>
      <c r="AA281" s="1"/>
      <c r="AB281" s="1"/>
      <c r="AC281" s="1"/>
      <c r="AD281" s="482"/>
      <c r="AE281" s="485"/>
      <c r="AF281" s="486"/>
      <c r="AG281" s="487"/>
      <c r="AH281" s="487"/>
      <c r="AI281" s="488"/>
      <c r="AJ281" s="489"/>
      <c r="AK281" s="648"/>
      <c r="AL281" s="648"/>
      <c r="AM281" s="648"/>
      <c r="AN281" s="648"/>
      <c r="AO281" s="648"/>
      <c r="AP281" s="648"/>
      <c r="AQ281" s="658"/>
      <c r="AR281" s="648"/>
      <c r="AS281" s="658"/>
      <c r="AT281" s="658"/>
      <c r="AU281" s="658"/>
      <c r="AV281" s="658"/>
      <c r="AW281" s="658"/>
      <c r="AX281" s="658"/>
      <c r="AY281" s="658"/>
      <c r="AZ281" s="658"/>
      <c r="BA281" s="658"/>
      <c r="BB281" s="658"/>
      <c r="BC281" s="668"/>
      <c r="BD281" s="658"/>
      <c r="BE281" s="658"/>
      <c r="BF281" s="658"/>
      <c r="BG281" s="658"/>
      <c r="BH281" s="676"/>
      <c r="BI281" s="658"/>
      <c r="BJ281" s="658"/>
      <c r="BK281" s="658"/>
      <c r="BL281" s="658"/>
      <c r="BM281" s="658"/>
      <c r="BN281" s="658"/>
      <c r="BO281" s="675"/>
    </row>
    <row r="282" spans="1:67" s="494" customFormat="1">
      <c r="A282" s="44"/>
      <c r="B282" s="479"/>
      <c r="C282" s="479"/>
      <c r="D282" s="479"/>
      <c r="E282" s="479"/>
      <c r="F282" s="479"/>
      <c r="G282" s="44"/>
      <c r="H282" s="44"/>
      <c r="I282" s="480"/>
      <c r="J282" s="44"/>
      <c r="K282" s="1"/>
      <c r="L282" s="44"/>
      <c r="M282" s="481"/>
      <c r="N282" s="482"/>
      <c r="O282" s="100"/>
      <c r="P282" s="483"/>
      <c r="Q282" s="482"/>
      <c r="R282" s="1"/>
      <c r="S282" s="484"/>
      <c r="T282" s="1"/>
      <c r="U282" s="484"/>
      <c r="V282" s="1"/>
      <c r="W282" s="484"/>
      <c r="X282" s="1"/>
      <c r="Y282" s="484"/>
      <c r="Z282" s="1"/>
      <c r="AA282" s="1"/>
      <c r="AB282" s="1"/>
      <c r="AC282" s="1"/>
      <c r="AD282" s="482"/>
      <c r="AE282" s="485"/>
      <c r="AF282" s="486"/>
      <c r="AG282" s="487"/>
      <c r="AH282" s="487"/>
      <c r="AI282" s="488"/>
      <c r="AJ282" s="489"/>
      <c r="AK282" s="648"/>
      <c r="AL282" s="648"/>
      <c r="AM282" s="648"/>
      <c r="AN282" s="648"/>
      <c r="AO282" s="648"/>
      <c r="AP282" s="648"/>
      <c r="AQ282" s="658"/>
      <c r="AR282" s="648"/>
      <c r="AS282" s="658"/>
      <c r="AT282" s="658"/>
      <c r="AU282" s="658"/>
      <c r="AV282" s="658"/>
      <c r="AW282" s="658"/>
      <c r="AX282" s="658"/>
      <c r="AY282" s="658"/>
      <c r="AZ282" s="658"/>
      <c r="BA282" s="658"/>
      <c r="BB282" s="658"/>
      <c r="BC282" s="668"/>
      <c r="BD282" s="658"/>
      <c r="BE282" s="658"/>
      <c r="BF282" s="658"/>
      <c r="BG282" s="658"/>
      <c r="BH282" s="676"/>
      <c r="BI282" s="658"/>
      <c r="BJ282" s="658"/>
      <c r="BK282" s="658"/>
      <c r="BL282" s="658"/>
      <c r="BM282" s="658"/>
      <c r="BN282" s="658"/>
      <c r="BO282" s="675"/>
    </row>
    <row r="283" spans="1:67" s="494" customFormat="1">
      <c r="A283" s="44"/>
      <c r="B283" s="479"/>
      <c r="C283" s="479"/>
      <c r="D283" s="479"/>
      <c r="E283" s="479"/>
      <c r="F283" s="479"/>
      <c r="G283" s="44"/>
      <c r="H283" s="44"/>
      <c r="I283" s="480"/>
      <c r="J283" s="44"/>
      <c r="K283" s="1"/>
      <c r="L283" s="44"/>
      <c r="M283" s="481"/>
      <c r="N283" s="482"/>
      <c r="O283" s="100"/>
      <c r="P283" s="483"/>
      <c r="Q283" s="482"/>
      <c r="R283" s="1"/>
      <c r="S283" s="484"/>
      <c r="T283" s="1"/>
      <c r="U283" s="484"/>
      <c r="V283" s="1"/>
      <c r="W283" s="484"/>
      <c r="X283" s="1"/>
      <c r="Y283" s="484"/>
      <c r="Z283" s="1"/>
      <c r="AA283" s="1"/>
      <c r="AB283" s="1"/>
      <c r="AC283" s="1"/>
      <c r="AD283" s="482"/>
      <c r="AE283" s="485"/>
      <c r="AF283" s="486"/>
      <c r="AG283" s="487"/>
      <c r="AH283" s="487"/>
      <c r="AI283" s="488"/>
      <c r="AJ283" s="489"/>
      <c r="AK283" s="648"/>
      <c r="AL283" s="648"/>
      <c r="AM283" s="648"/>
      <c r="AN283" s="648"/>
      <c r="AO283" s="648"/>
      <c r="AP283" s="648"/>
      <c r="AQ283" s="658"/>
      <c r="AR283" s="648"/>
      <c r="AS283" s="658"/>
      <c r="AT283" s="658"/>
      <c r="AU283" s="658"/>
      <c r="AV283" s="658"/>
      <c r="AW283" s="658"/>
      <c r="AX283" s="658"/>
      <c r="AY283" s="658"/>
      <c r="AZ283" s="658"/>
      <c r="BA283" s="658"/>
      <c r="BB283" s="658"/>
      <c r="BC283" s="668"/>
      <c r="BD283" s="658"/>
      <c r="BE283" s="658"/>
      <c r="BF283" s="658"/>
      <c r="BG283" s="658"/>
      <c r="BH283" s="676"/>
      <c r="BI283" s="658"/>
      <c r="BJ283" s="658"/>
      <c r="BK283" s="658"/>
      <c r="BL283" s="658"/>
      <c r="BM283" s="658"/>
      <c r="BN283" s="658"/>
      <c r="BO283" s="675"/>
    </row>
    <row r="284" spans="1:67" s="494" customFormat="1">
      <c r="A284" s="44"/>
      <c r="B284" s="479"/>
      <c r="C284" s="479"/>
      <c r="D284" s="479"/>
      <c r="E284" s="479"/>
      <c r="F284" s="479"/>
      <c r="G284" s="44"/>
      <c r="H284" s="44"/>
      <c r="I284" s="480"/>
      <c r="J284" s="44"/>
      <c r="K284" s="1"/>
      <c r="L284" s="44"/>
      <c r="M284" s="481"/>
      <c r="N284" s="482"/>
      <c r="O284" s="100"/>
      <c r="P284" s="483"/>
      <c r="Q284" s="482"/>
      <c r="R284" s="1"/>
      <c r="S284" s="484"/>
      <c r="T284" s="1"/>
      <c r="U284" s="484"/>
      <c r="V284" s="1"/>
      <c r="W284" s="484"/>
      <c r="X284" s="1"/>
      <c r="Y284" s="484"/>
      <c r="Z284" s="1"/>
      <c r="AA284" s="1"/>
      <c r="AB284" s="1"/>
      <c r="AC284" s="1"/>
      <c r="AD284" s="482"/>
      <c r="AE284" s="485"/>
      <c r="AF284" s="486"/>
      <c r="AG284" s="487"/>
      <c r="AH284" s="487"/>
      <c r="AI284" s="488"/>
      <c r="AJ284" s="489"/>
      <c r="AK284" s="648"/>
      <c r="AL284" s="648"/>
      <c r="AM284" s="648"/>
      <c r="AN284" s="648"/>
      <c r="AO284" s="648"/>
      <c r="AP284" s="648"/>
      <c r="AQ284" s="658"/>
      <c r="AR284" s="648"/>
      <c r="AS284" s="658"/>
      <c r="AT284" s="658"/>
      <c r="AU284" s="658"/>
      <c r="AV284" s="658"/>
      <c r="AW284" s="658"/>
      <c r="AX284" s="658"/>
      <c r="AY284" s="658"/>
      <c r="AZ284" s="658"/>
      <c r="BA284" s="658"/>
      <c r="BB284" s="658"/>
      <c r="BC284" s="668"/>
      <c r="BD284" s="658"/>
      <c r="BE284" s="658"/>
      <c r="BF284" s="658"/>
      <c r="BG284" s="658"/>
      <c r="BH284" s="676"/>
      <c r="BI284" s="658"/>
      <c r="BJ284" s="658"/>
      <c r="BK284" s="658"/>
      <c r="BL284" s="658"/>
      <c r="BM284" s="658"/>
      <c r="BN284" s="658"/>
      <c r="BO284" s="675"/>
    </row>
    <row r="285" spans="1:67" s="494" customFormat="1">
      <c r="A285" s="44"/>
      <c r="B285" s="479"/>
      <c r="C285" s="479"/>
      <c r="D285" s="479"/>
      <c r="E285" s="479"/>
      <c r="F285" s="479"/>
      <c r="G285" s="44"/>
      <c r="H285" s="44"/>
      <c r="I285" s="480"/>
      <c r="J285" s="44"/>
      <c r="K285" s="1"/>
      <c r="L285" s="44"/>
      <c r="M285" s="481"/>
      <c r="N285" s="482"/>
      <c r="O285" s="100"/>
      <c r="P285" s="483"/>
      <c r="Q285" s="482"/>
      <c r="R285" s="1"/>
      <c r="S285" s="484"/>
      <c r="T285" s="1"/>
      <c r="U285" s="484"/>
      <c r="V285" s="1"/>
      <c r="W285" s="484"/>
      <c r="X285" s="1"/>
      <c r="Y285" s="484"/>
      <c r="Z285" s="1"/>
      <c r="AA285" s="1"/>
      <c r="AB285" s="1"/>
      <c r="AC285" s="1"/>
      <c r="AD285" s="482"/>
      <c r="AE285" s="485"/>
      <c r="AF285" s="486"/>
      <c r="AG285" s="487"/>
      <c r="AH285" s="487"/>
      <c r="AI285" s="488"/>
      <c r="AJ285" s="489"/>
      <c r="AK285" s="648"/>
      <c r="AL285" s="648"/>
      <c r="AM285" s="648"/>
      <c r="AN285" s="648"/>
      <c r="AO285" s="648"/>
      <c r="AP285" s="648"/>
      <c r="AQ285" s="658"/>
      <c r="AR285" s="648"/>
      <c r="AS285" s="658"/>
      <c r="AT285" s="658"/>
      <c r="AU285" s="658"/>
      <c r="AV285" s="658"/>
      <c r="AW285" s="658"/>
      <c r="AX285" s="658"/>
      <c r="AY285" s="658"/>
      <c r="AZ285" s="658"/>
      <c r="BA285" s="658"/>
      <c r="BB285" s="658"/>
      <c r="BC285" s="668"/>
      <c r="BD285" s="658"/>
      <c r="BE285" s="658"/>
      <c r="BF285" s="658"/>
      <c r="BG285" s="658"/>
      <c r="BH285" s="676"/>
      <c r="BI285" s="658"/>
      <c r="BJ285" s="658"/>
      <c r="BK285" s="658"/>
      <c r="BL285" s="658"/>
      <c r="BM285" s="658"/>
      <c r="BN285" s="658"/>
      <c r="BO285" s="675"/>
    </row>
    <row r="286" spans="1:67" s="494" customFormat="1">
      <c r="A286" s="44"/>
      <c r="B286" s="479"/>
      <c r="C286" s="479"/>
      <c r="D286" s="479"/>
      <c r="E286" s="479"/>
      <c r="F286" s="479"/>
      <c r="G286" s="44"/>
      <c r="H286" s="44"/>
      <c r="I286" s="480"/>
      <c r="J286" s="44"/>
      <c r="K286" s="1"/>
      <c r="L286" s="44"/>
      <c r="M286" s="481"/>
      <c r="N286" s="482"/>
      <c r="O286" s="100"/>
      <c r="P286" s="483"/>
      <c r="Q286" s="482"/>
      <c r="R286" s="1"/>
      <c r="S286" s="484"/>
      <c r="T286" s="1"/>
      <c r="U286" s="484"/>
      <c r="V286" s="1"/>
      <c r="W286" s="484"/>
      <c r="X286" s="1"/>
      <c r="Y286" s="484"/>
      <c r="Z286" s="1"/>
      <c r="AA286" s="1"/>
      <c r="AB286" s="1"/>
      <c r="AC286" s="1"/>
      <c r="AD286" s="482"/>
      <c r="AE286" s="485"/>
      <c r="AF286" s="486"/>
      <c r="AG286" s="487"/>
      <c r="AH286" s="487"/>
      <c r="AI286" s="488"/>
      <c r="AJ286" s="489"/>
      <c r="AK286" s="648"/>
      <c r="AL286" s="648"/>
      <c r="AM286" s="648"/>
      <c r="AN286" s="648"/>
      <c r="AO286" s="648"/>
      <c r="AP286" s="648"/>
      <c r="AQ286" s="658"/>
      <c r="AR286" s="648"/>
      <c r="AS286" s="658"/>
      <c r="AT286" s="658"/>
      <c r="AU286" s="658"/>
      <c r="AV286" s="658"/>
      <c r="AW286" s="658"/>
      <c r="AX286" s="658"/>
      <c r="AY286" s="658"/>
      <c r="AZ286" s="658"/>
      <c r="BA286" s="658"/>
      <c r="BB286" s="658"/>
      <c r="BC286" s="668"/>
      <c r="BD286" s="658"/>
      <c r="BE286" s="658"/>
      <c r="BF286" s="658"/>
      <c r="BG286" s="658"/>
      <c r="BH286" s="676"/>
      <c r="BI286" s="658"/>
      <c r="BJ286" s="658"/>
      <c r="BK286" s="658"/>
      <c r="BL286" s="658"/>
      <c r="BM286" s="658"/>
      <c r="BN286" s="658"/>
      <c r="BO286" s="675"/>
    </row>
    <row r="287" spans="1:67" s="494" customFormat="1">
      <c r="A287" s="44"/>
      <c r="B287" s="479"/>
      <c r="C287" s="479"/>
      <c r="D287" s="479"/>
      <c r="E287" s="479"/>
      <c r="F287" s="479"/>
      <c r="G287" s="44"/>
      <c r="H287" s="44"/>
      <c r="I287" s="480"/>
      <c r="J287" s="44"/>
      <c r="K287" s="1"/>
      <c r="L287" s="44"/>
      <c r="M287" s="481"/>
      <c r="N287" s="482"/>
      <c r="O287" s="100"/>
      <c r="P287" s="483"/>
      <c r="Q287" s="482"/>
      <c r="R287" s="1"/>
      <c r="S287" s="484"/>
      <c r="T287" s="1"/>
      <c r="U287" s="484"/>
      <c r="V287" s="1"/>
      <c r="W287" s="484"/>
      <c r="X287" s="1"/>
      <c r="Y287" s="484"/>
      <c r="Z287" s="1"/>
      <c r="AA287" s="1"/>
      <c r="AB287" s="1"/>
      <c r="AC287" s="1"/>
      <c r="AD287" s="482"/>
      <c r="AE287" s="485"/>
      <c r="AF287" s="486"/>
      <c r="AG287" s="487"/>
      <c r="AH287" s="487"/>
      <c r="AI287" s="488"/>
      <c r="AJ287" s="489"/>
      <c r="AK287" s="648"/>
      <c r="AL287" s="648"/>
      <c r="AM287" s="648"/>
      <c r="AN287" s="648"/>
      <c r="AO287" s="648"/>
      <c r="AP287" s="648"/>
      <c r="AQ287" s="658"/>
      <c r="AR287" s="648"/>
      <c r="AS287" s="658"/>
      <c r="AT287" s="658"/>
      <c r="AU287" s="658"/>
      <c r="AV287" s="658"/>
      <c r="AW287" s="658"/>
      <c r="AX287" s="658"/>
      <c r="AY287" s="658"/>
      <c r="AZ287" s="658"/>
      <c r="BA287" s="658"/>
      <c r="BB287" s="658"/>
      <c r="BC287" s="668"/>
      <c r="BD287" s="658"/>
      <c r="BE287" s="658"/>
      <c r="BF287" s="658"/>
      <c r="BG287" s="658"/>
      <c r="BH287" s="676"/>
      <c r="BI287" s="658"/>
      <c r="BJ287" s="658"/>
      <c r="BK287" s="658"/>
      <c r="BL287" s="658"/>
      <c r="BM287" s="658"/>
      <c r="BN287" s="658"/>
      <c r="BO287" s="675"/>
    </row>
    <row r="288" spans="1:67" s="494" customFormat="1">
      <c r="A288" s="44"/>
      <c r="B288" s="479"/>
      <c r="C288" s="479"/>
      <c r="D288" s="479"/>
      <c r="E288" s="479"/>
      <c r="F288" s="479"/>
      <c r="G288" s="44"/>
      <c r="H288" s="44"/>
      <c r="I288" s="480"/>
      <c r="J288" s="44"/>
      <c r="K288" s="1"/>
      <c r="L288" s="44"/>
      <c r="M288" s="481"/>
      <c r="N288" s="482"/>
      <c r="O288" s="100"/>
      <c r="P288" s="483"/>
      <c r="Q288" s="482"/>
      <c r="R288" s="1"/>
      <c r="S288" s="484"/>
      <c r="T288" s="1"/>
      <c r="U288" s="484"/>
      <c r="V288" s="1"/>
      <c r="W288" s="484"/>
      <c r="X288" s="1"/>
      <c r="Y288" s="484"/>
      <c r="Z288" s="1"/>
      <c r="AA288" s="1"/>
      <c r="AB288" s="1"/>
      <c r="AC288" s="1"/>
      <c r="AD288" s="482"/>
      <c r="AE288" s="485"/>
      <c r="AF288" s="486"/>
      <c r="AG288" s="487"/>
      <c r="AH288" s="487"/>
      <c r="AI288" s="488"/>
      <c r="AJ288" s="489"/>
      <c r="AK288" s="648"/>
      <c r="AL288" s="648"/>
      <c r="AM288" s="648"/>
      <c r="AN288" s="648"/>
      <c r="AO288" s="648"/>
      <c r="AP288" s="648"/>
      <c r="AQ288" s="658"/>
      <c r="AR288" s="648"/>
      <c r="AS288" s="658"/>
      <c r="AT288" s="658"/>
      <c r="AU288" s="658"/>
      <c r="AV288" s="658"/>
      <c r="AW288" s="658"/>
      <c r="AX288" s="658"/>
      <c r="AY288" s="658"/>
      <c r="AZ288" s="658"/>
      <c r="BA288" s="658"/>
      <c r="BB288" s="658"/>
      <c r="BC288" s="668"/>
      <c r="BD288" s="658"/>
      <c r="BE288" s="658"/>
      <c r="BF288" s="658"/>
      <c r="BG288" s="658"/>
      <c r="BH288" s="676"/>
      <c r="BI288" s="658"/>
      <c r="BJ288" s="658"/>
      <c r="BK288" s="658"/>
      <c r="BL288" s="658"/>
      <c r="BM288" s="658"/>
      <c r="BN288" s="658"/>
      <c r="BO288" s="675"/>
    </row>
    <row r="289" spans="1:67" s="494" customFormat="1">
      <c r="A289" s="44"/>
      <c r="B289" s="479"/>
      <c r="C289" s="479"/>
      <c r="D289" s="479"/>
      <c r="E289" s="479"/>
      <c r="F289" s="479"/>
      <c r="G289" s="44"/>
      <c r="H289" s="44"/>
      <c r="I289" s="480"/>
      <c r="J289" s="44"/>
      <c r="K289" s="1"/>
      <c r="L289" s="44"/>
      <c r="M289" s="481"/>
      <c r="N289" s="482"/>
      <c r="O289" s="100"/>
      <c r="P289" s="483"/>
      <c r="Q289" s="482"/>
      <c r="R289" s="1"/>
      <c r="S289" s="484"/>
      <c r="T289" s="1"/>
      <c r="U289" s="484"/>
      <c r="V289" s="1"/>
      <c r="W289" s="484"/>
      <c r="X289" s="1"/>
      <c r="Y289" s="484"/>
      <c r="Z289" s="1"/>
      <c r="AA289" s="1"/>
      <c r="AB289" s="1"/>
      <c r="AC289" s="1"/>
      <c r="AD289" s="482"/>
      <c r="AE289" s="485"/>
      <c r="AF289" s="486"/>
      <c r="AG289" s="487"/>
      <c r="AH289" s="487"/>
      <c r="AI289" s="488"/>
      <c r="AJ289" s="489"/>
      <c r="AK289" s="648"/>
      <c r="AL289" s="648"/>
      <c r="AM289" s="648"/>
      <c r="AN289" s="648"/>
      <c r="AO289" s="648"/>
      <c r="AP289" s="648"/>
      <c r="AQ289" s="658"/>
      <c r="AR289" s="648"/>
      <c r="AS289" s="658"/>
      <c r="AT289" s="658"/>
      <c r="AU289" s="658"/>
      <c r="AV289" s="658"/>
      <c r="AW289" s="658"/>
      <c r="AX289" s="658"/>
      <c r="AY289" s="658"/>
      <c r="AZ289" s="658"/>
      <c r="BA289" s="658"/>
      <c r="BB289" s="658"/>
      <c r="BC289" s="668"/>
      <c r="BD289" s="658"/>
      <c r="BE289" s="658"/>
      <c r="BF289" s="658"/>
      <c r="BG289" s="658"/>
      <c r="BH289" s="676"/>
      <c r="BI289" s="658"/>
      <c r="BJ289" s="658"/>
      <c r="BK289" s="658"/>
      <c r="BL289" s="658"/>
      <c r="BM289" s="658"/>
      <c r="BN289" s="658"/>
      <c r="BO289" s="675"/>
    </row>
    <row r="290" spans="1:67" s="494" customFormat="1">
      <c r="A290" s="44"/>
      <c r="B290" s="479"/>
      <c r="C290" s="479"/>
      <c r="D290" s="479"/>
      <c r="E290" s="479"/>
      <c r="F290" s="479"/>
      <c r="G290" s="44"/>
      <c r="H290" s="44"/>
      <c r="I290" s="480"/>
      <c r="J290" s="44"/>
      <c r="K290" s="1"/>
      <c r="L290" s="44"/>
      <c r="M290" s="481"/>
      <c r="N290" s="482"/>
      <c r="O290" s="100"/>
      <c r="P290" s="483"/>
      <c r="Q290" s="482"/>
      <c r="R290" s="1"/>
      <c r="S290" s="484"/>
      <c r="T290" s="1"/>
      <c r="U290" s="484"/>
      <c r="V290" s="1"/>
      <c r="W290" s="484"/>
      <c r="X290" s="1"/>
      <c r="Y290" s="484"/>
      <c r="Z290" s="1"/>
      <c r="AA290" s="1"/>
      <c r="AB290" s="1"/>
      <c r="AC290" s="1"/>
      <c r="AD290" s="482"/>
      <c r="AE290" s="485"/>
      <c r="AF290" s="486"/>
      <c r="AG290" s="487"/>
      <c r="AH290" s="487"/>
      <c r="AI290" s="488"/>
      <c r="AJ290" s="489"/>
      <c r="AK290" s="648"/>
      <c r="AL290" s="648"/>
      <c r="AM290" s="648"/>
      <c r="AN290" s="648"/>
      <c r="AO290" s="648"/>
      <c r="AP290" s="648"/>
      <c r="AQ290" s="658"/>
      <c r="AR290" s="648"/>
      <c r="AS290" s="658"/>
      <c r="AT290" s="658"/>
      <c r="AU290" s="658"/>
      <c r="AV290" s="658"/>
      <c r="AW290" s="658"/>
      <c r="AX290" s="658"/>
      <c r="AY290" s="658"/>
      <c r="AZ290" s="658"/>
      <c r="BA290" s="658"/>
      <c r="BB290" s="658"/>
      <c r="BC290" s="668"/>
      <c r="BD290" s="658"/>
      <c r="BE290" s="658"/>
      <c r="BF290" s="658"/>
      <c r="BG290" s="658"/>
      <c r="BH290" s="676"/>
      <c r="BI290" s="658"/>
      <c r="BJ290" s="658"/>
      <c r="BK290" s="658"/>
      <c r="BL290" s="658"/>
      <c r="BM290" s="658"/>
      <c r="BN290" s="658"/>
      <c r="BO290" s="675"/>
    </row>
    <row r="291" spans="1:67" s="494" customFormat="1">
      <c r="A291" s="44"/>
      <c r="B291" s="479"/>
      <c r="C291" s="479"/>
      <c r="D291" s="479"/>
      <c r="E291" s="479"/>
      <c r="F291" s="479"/>
      <c r="G291" s="44"/>
      <c r="H291" s="44"/>
      <c r="I291" s="480"/>
      <c r="J291" s="44"/>
      <c r="K291" s="1"/>
      <c r="L291" s="44"/>
      <c r="M291" s="481"/>
      <c r="N291" s="482"/>
      <c r="O291" s="100"/>
      <c r="P291" s="483"/>
      <c r="Q291" s="482"/>
      <c r="R291" s="1"/>
      <c r="S291" s="484"/>
      <c r="T291" s="1"/>
      <c r="U291" s="484"/>
      <c r="V291" s="1"/>
      <c r="W291" s="484"/>
      <c r="X291" s="1"/>
      <c r="Y291" s="484"/>
      <c r="Z291" s="1"/>
      <c r="AA291" s="1"/>
      <c r="AB291" s="1"/>
      <c r="AC291" s="1"/>
      <c r="AD291" s="482"/>
      <c r="AE291" s="485"/>
      <c r="AF291" s="486"/>
      <c r="AG291" s="487"/>
      <c r="AH291" s="487"/>
      <c r="AI291" s="488"/>
      <c r="AJ291" s="489"/>
      <c r="AK291" s="648"/>
      <c r="AL291" s="648"/>
      <c r="AM291" s="648"/>
      <c r="AN291" s="648"/>
      <c r="AO291" s="648"/>
      <c r="AP291" s="648"/>
      <c r="AQ291" s="658"/>
      <c r="AR291" s="648"/>
      <c r="AS291" s="658"/>
      <c r="AT291" s="658"/>
      <c r="AU291" s="658"/>
      <c r="AV291" s="658"/>
      <c r="AW291" s="658"/>
      <c r="AX291" s="658"/>
      <c r="AY291" s="658"/>
      <c r="AZ291" s="658"/>
      <c r="BA291" s="658"/>
      <c r="BB291" s="658"/>
      <c r="BC291" s="668"/>
      <c r="BD291" s="658"/>
      <c r="BE291" s="658"/>
      <c r="BF291" s="658"/>
      <c r="BG291" s="658"/>
      <c r="BH291" s="676"/>
      <c r="BI291" s="658"/>
      <c r="BJ291" s="658"/>
      <c r="BK291" s="658"/>
      <c r="BL291" s="658"/>
      <c r="BM291" s="658"/>
      <c r="BN291" s="658"/>
      <c r="BO291" s="675"/>
    </row>
    <row r="292" spans="1:67" s="494" customFormat="1">
      <c r="A292" s="44"/>
      <c r="B292" s="479"/>
      <c r="C292" s="479"/>
      <c r="D292" s="479"/>
      <c r="E292" s="479"/>
      <c r="F292" s="479"/>
      <c r="G292" s="44"/>
      <c r="H292" s="44"/>
      <c r="I292" s="480"/>
      <c r="J292" s="44"/>
      <c r="K292" s="1"/>
      <c r="L292" s="44"/>
      <c r="M292" s="481"/>
      <c r="N292" s="482"/>
      <c r="O292" s="100"/>
      <c r="P292" s="483"/>
      <c r="Q292" s="482"/>
      <c r="R292" s="1"/>
      <c r="S292" s="484"/>
      <c r="T292" s="1"/>
      <c r="U292" s="484"/>
      <c r="V292" s="1"/>
      <c r="W292" s="484"/>
      <c r="X292" s="1"/>
      <c r="Y292" s="484"/>
      <c r="Z292" s="1"/>
      <c r="AA292" s="1"/>
      <c r="AB292" s="1"/>
      <c r="AC292" s="1"/>
      <c r="AD292" s="482"/>
      <c r="AE292" s="485"/>
      <c r="AF292" s="486"/>
      <c r="AG292" s="487"/>
      <c r="AH292" s="487"/>
      <c r="AI292" s="488"/>
      <c r="AJ292" s="489"/>
      <c r="AK292" s="648"/>
      <c r="AL292" s="648"/>
      <c r="AM292" s="648"/>
      <c r="AN292" s="648"/>
      <c r="AO292" s="648"/>
      <c r="AP292" s="648"/>
      <c r="AQ292" s="658"/>
      <c r="AR292" s="648"/>
      <c r="AS292" s="658"/>
      <c r="AT292" s="658"/>
      <c r="AU292" s="658"/>
      <c r="AV292" s="658"/>
      <c r="AW292" s="658"/>
      <c r="AX292" s="658"/>
      <c r="AY292" s="658"/>
      <c r="AZ292" s="658"/>
      <c r="BA292" s="658"/>
      <c r="BB292" s="658"/>
      <c r="BC292" s="668"/>
      <c r="BD292" s="658"/>
      <c r="BE292" s="658"/>
      <c r="BF292" s="658"/>
      <c r="BG292" s="658"/>
      <c r="BH292" s="676"/>
      <c r="BI292" s="658"/>
      <c r="BJ292" s="658"/>
      <c r="BK292" s="658"/>
      <c r="BL292" s="658"/>
      <c r="BM292" s="658"/>
      <c r="BN292" s="658"/>
      <c r="BO292" s="675"/>
    </row>
    <row r="293" spans="1:67" s="494" customFormat="1">
      <c r="A293" s="44"/>
      <c r="B293" s="479"/>
      <c r="C293" s="479"/>
      <c r="D293" s="479"/>
      <c r="E293" s="479"/>
      <c r="F293" s="479"/>
      <c r="G293" s="44"/>
      <c r="H293" s="44"/>
      <c r="I293" s="480"/>
      <c r="J293" s="44"/>
      <c r="K293" s="1"/>
      <c r="L293" s="44"/>
      <c r="M293" s="481"/>
      <c r="N293" s="482"/>
      <c r="O293" s="100"/>
      <c r="P293" s="483"/>
      <c r="Q293" s="482"/>
      <c r="R293" s="1"/>
      <c r="S293" s="484"/>
      <c r="T293" s="1"/>
      <c r="U293" s="484"/>
      <c r="V293" s="1"/>
      <c r="W293" s="484"/>
      <c r="X293" s="1"/>
      <c r="Y293" s="484"/>
      <c r="Z293" s="1"/>
      <c r="AA293" s="1"/>
      <c r="AB293" s="1"/>
      <c r="AC293" s="1"/>
      <c r="AD293" s="482"/>
      <c r="AE293" s="485"/>
      <c r="AF293" s="486"/>
      <c r="AG293" s="487"/>
      <c r="AH293" s="487"/>
      <c r="AI293" s="488"/>
      <c r="AJ293" s="489"/>
      <c r="AK293" s="648"/>
      <c r="AL293" s="648"/>
      <c r="AM293" s="648"/>
      <c r="AN293" s="648"/>
      <c r="AO293" s="648"/>
      <c r="AP293" s="648"/>
      <c r="AQ293" s="658"/>
      <c r="AR293" s="648"/>
      <c r="AS293" s="658"/>
      <c r="AT293" s="658"/>
      <c r="AU293" s="658"/>
      <c r="AV293" s="658"/>
      <c r="AW293" s="658"/>
      <c r="AX293" s="658"/>
      <c r="AY293" s="658"/>
      <c r="AZ293" s="658"/>
      <c r="BA293" s="658"/>
      <c r="BB293" s="658"/>
      <c r="BC293" s="668"/>
      <c r="BD293" s="658"/>
      <c r="BE293" s="658"/>
      <c r="BF293" s="658"/>
      <c r="BG293" s="658"/>
      <c r="BH293" s="676"/>
      <c r="BI293" s="658"/>
      <c r="BJ293" s="658"/>
      <c r="BK293" s="658"/>
      <c r="BL293" s="658"/>
      <c r="BM293" s="658"/>
      <c r="BN293" s="658"/>
      <c r="BO293" s="675"/>
    </row>
    <row r="294" spans="1:67" s="494" customFormat="1">
      <c r="A294" s="44"/>
      <c r="B294" s="479"/>
      <c r="C294" s="479"/>
      <c r="D294" s="479"/>
      <c r="E294" s="479"/>
      <c r="F294" s="479"/>
      <c r="G294" s="44"/>
      <c r="H294" s="44"/>
      <c r="I294" s="480"/>
      <c r="J294" s="44"/>
      <c r="K294" s="1"/>
      <c r="L294" s="44"/>
      <c r="M294" s="481"/>
      <c r="N294" s="482"/>
      <c r="O294" s="100"/>
      <c r="P294" s="483"/>
      <c r="Q294" s="482"/>
      <c r="R294" s="1"/>
      <c r="S294" s="484"/>
      <c r="T294" s="1"/>
      <c r="U294" s="484"/>
      <c r="V294" s="1"/>
      <c r="W294" s="484"/>
      <c r="X294" s="1"/>
      <c r="Y294" s="484"/>
      <c r="Z294" s="1"/>
      <c r="AA294" s="1"/>
      <c r="AB294" s="1"/>
      <c r="AC294" s="1"/>
      <c r="AD294" s="482"/>
      <c r="AE294" s="485"/>
      <c r="AF294" s="486"/>
      <c r="AG294" s="487"/>
      <c r="AH294" s="487"/>
      <c r="AI294" s="488"/>
      <c r="AJ294" s="489"/>
      <c r="AK294" s="648"/>
      <c r="AL294" s="648"/>
      <c r="AM294" s="648"/>
      <c r="AN294" s="648"/>
      <c r="AO294" s="648"/>
      <c r="AP294" s="648"/>
      <c r="AQ294" s="658"/>
      <c r="AR294" s="648"/>
      <c r="AS294" s="658"/>
      <c r="AT294" s="658"/>
      <c r="AU294" s="658"/>
      <c r="AV294" s="658"/>
      <c r="AW294" s="658"/>
      <c r="AX294" s="658"/>
      <c r="AY294" s="658"/>
      <c r="AZ294" s="658"/>
      <c r="BA294" s="658"/>
      <c r="BB294" s="658"/>
      <c r="BC294" s="668"/>
      <c r="BD294" s="658"/>
      <c r="BE294" s="658"/>
      <c r="BF294" s="658"/>
      <c r="BG294" s="658"/>
      <c r="BH294" s="676"/>
      <c r="BI294" s="658"/>
      <c r="BJ294" s="658"/>
      <c r="BK294" s="658"/>
      <c r="BL294" s="658"/>
      <c r="BM294" s="658"/>
      <c r="BN294" s="658"/>
      <c r="BO294" s="675"/>
    </row>
    <row r="295" spans="1:67">
      <c r="Q295" s="482"/>
    </row>
    <row r="296" spans="1:67">
      <c r="Q296" s="482"/>
    </row>
    <row r="297" spans="1:67">
      <c r="Q297" s="482"/>
    </row>
    <row r="298" spans="1:67">
      <c r="Q298" s="482"/>
    </row>
    <row r="299" spans="1:67">
      <c r="Q299" s="482"/>
    </row>
    <row r="300" spans="1:67">
      <c r="Q300" s="482"/>
    </row>
  </sheetData>
  <sheetProtection algorithmName="SHA-512" hashValue="02yy3dmV0UX27xZZLmG16gTf33mFtF2lZq0Tmm5WzvwmzObFt3WxuEuc/VdDmgw2pTvBc+roDNegEJexf73YCA==" saltValue="XJQ5M0redrX7JB7OMJs76Q==" spinCount="10000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AND($N12&lt;&gt;"",$AC12&lt;&gt;0,$AC12&lt;&gt;"")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I12:AI111">
      <formula1>INDIRECT(AX12)</formula1>
    </dataValidation>
    <dataValidation type="list" allowBlank="1" showDropDown="0" showInputMessage="1" showErrorMessage="1" sqref="AI12:AI111">
      <formula1>INDIRECT(BA12)</formula1>
    </dataValidation>
    <dataValidation type="list" allowBlank="1" showDropDown="0"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tabSelected="1" view="pageBreakPreview" zoomScale="59" zoomScaleNormal="85" zoomScaleSheetLayoutView="59" workbookViewId="0">
      <selection activeCell="BE13" sqref="BE12:BE111"/>
    </sheetView>
  </sheetViews>
  <sheetFormatPr defaultColWidth="2.5" defaultRowHeight="16.2"/>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5.125" style="482" customWidth="1"/>
    <col min="15" max="15" width="12" style="100" customWidth="1"/>
    <col min="16" max="16" width="6.5" style="483" customWidth="1"/>
    <col min="17" max="17" width="3" style="482"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2" style="487" customWidth="1"/>
    <col min="35" max="35" width="20.875" style="488" customWidth="1"/>
    <col min="36" max="36" width="21.5" style="489" customWidth="1"/>
    <col min="37" max="40" width="22.5" style="648" customWidth="1"/>
    <col min="41" max="41" width="21.5" style="648" customWidth="1"/>
    <col min="42" max="42" width="16.5" style="648" customWidth="1"/>
    <col min="43" max="43" width="36.5" style="648" customWidth="1"/>
    <col min="44" max="44" width="18.5" style="658" customWidth="1"/>
    <col min="45" max="45" width="21.5" style="648" customWidth="1"/>
    <col min="46" max="46" width="16.5" style="658" customWidth="1"/>
    <col min="47" max="47" width="14.5" style="658" customWidth="1"/>
    <col min="48" max="50" width="25.125" style="658" customWidth="1"/>
    <col min="51" max="51" width="20.125" style="658" customWidth="1"/>
    <col min="52" max="52" width="17" style="658" customWidth="1"/>
    <col min="53" max="53" width="10" style="658" customWidth="1"/>
    <col min="54" max="54" width="23.25" style="658" customWidth="1"/>
    <col min="55" max="55" width="16.5" style="658" customWidth="1"/>
    <col min="56" max="62" width="10" style="658" customWidth="1"/>
    <col min="63" max="63" width="14.5" style="658" customWidth="1"/>
    <col min="64" max="64" width="13.875" style="658" bestFit="1" customWidth="1"/>
    <col min="65" max="65" width="15.5" style="658" customWidth="1"/>
    <col min="66" max="66" width="12.875" style="658" customWidth="1"/>
    <col min="67" max="67" width="11.5" style="658" customWidth="1"/>
    <col min="68" max="70" width="6.875" style="658" customWidth="1"/>
    <col min="71" max="71" width="6.875" style="675" customWidth="1"/>
    <col min="72" max="72" width="22.125" style="494" customWidth="1"/>
    <col min="73" max="16384" width="2.5" style="494"/>
  </cols>
  <sheetData>
    <row r="1" spans="1:72" ht="29.25" customHeight="1">
      <c r="A1" s="497" t="s">
        <v>571</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26</v>
      </c>
      <c r="AJ1" s="389" t="str">
        <f>IF(基本情報入力シート!C11="","",基本情報入力シート!C11)</f>
        <v/>
      </c>
      <c r="AK1" s="640"/>
      <c r="AL1" s="640"/>
      <c r="AM1" s="640"/>
      <c r="AN1" s="640"/>
      <c r="AO1" s="657"/>
      <c r="AP1" s="640"/>
      <c r="AQ1" s="640"/>
      <c r="AS1" s="657"/>
      <c r="BK1" s="675"/>
      <c r="BL1" s="494"/>
      <c r="BM1" s="494"/>
      <c r="BN1" s="494"/>
      <c r="BO1" s="494"/>
      <c r="BP1" s="494"/>
      <c r="BQ1" s="494"/>
      <c r="BR1" s="494"/>
      <c r="BS1" s="494"/>
    </row>
    <row r="2" spans="1:72"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S2" s="641"/>
      <c r="BK2" s="675"/>
      <c r="BL2" s="494"/>
      <c r="BM2" s="494"/>
      <c r="BN2" s="494"/>
      <c r="BO2" s="494"/>
      <c r="BP2" s="494"/>
      <c r="BQ2" s="494"/>
      <c r="BR2" s="494"/>
      <c r="BS2" s="494"/>
    </row>
    <row r="3" spans="1:72" ht="27" customHeight="1">
      <c r="A3" s="499" t="s">
        <v>43</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R3" s="662"/>
      <c r="AS3" s="641"/>
      <c r="AT3" s="662"/>
      <c r="AU3" s="662"/>
      <c r="BO3" s="675"/>
      <c r="BP3" s="494"/>
      <c r="BQ3" s="494"/>
      <c r="BR3" s="494"/>
      <c r="BS3" s="494"/>
    </row>
    <row r="4" spans="1:72"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645</v>
      </c>
      <c r="AF4" s="611"/>
      <c r="AG4" s="611"/>
      <c r="AH4" s="611"/>
      <c r="AI4" s="611"/>
      <c r="AJ4" s="611"/>
      <c r="AK4" s="641"/>
      <c r="AL4" s="641"/>
      <c r="AM4" s="641"/>
      <c r="AN4" s="641"/>
      <c r="AO4" s="641"/>
      <c r="AS4" s="641"/>
      <c r="BO4" s="675"/>
      <c r="BP4" s="494"/>
      <c r="BQ4" s="494"/>
      <c r="BR4" s="494"/>
      <c r="BS4" s="494"/>
    </row>
    <row r="5" spans="1:72" ht="51" customHeight="1">
      <c r="A5" s="684" t="s">
        <v>16</v>
      </c>
      <c r="B5" s="687"/>
      <c r="C5" s="687"/>
      <c r="D5" s="687"/>
      <c r="E5" s="687"/>
      <c r="F5" s="687"/>
      <c r="G5" s="687"/>
      <c r="H5" s="687"/>
      <c r="I5" s="687"/>
      <c r="J5" s="691"/>
      <c r="K5" s="694" t="s">
        <v>725</v>
      </c>
      <c r="L5" s="696" t="s">
        <v>44</v>
      </c>
      <c r="M5" s="696"/>
      <c r="N5" s="698" t="s">
        <v>728</v>
      </c>
      <c r="O5" s="702"/>
      <c r="P5" s="577"/>
      <c r="Q5" s="576"/>
      <c r="R5" s="571"/>
      <c r="S5" s="2"/>
      <c r="T5" s="583"/>
      <c r="U5" s="583"/>
      <c r="V5" s="583"/>
      <c r="W5" s="583"/>
      <c r="X5" s="583"/>
      <c r="Y5" s="583"/>
      <c r="Z5" s="583"/>
      <c r="AA5" s="583"/>
      <c r="AB5" s="583"/>
      <c r="AC5" s="583"/>
      <c r="AD5" s="604"/>
      <c r="AE5" s="612" t="s">
        <v>655</v>
      </c>
      <c r="AF5" s="620"/>
      <c r="AG5" s="620"/>
      <c r="AH5" s="620"/>
      <c r="AI5" s="628"/>
      <c r="AJ5" s="634">
        <f>COUNTIFS(AU:AU,"対象",BM:BM,"その他",K:K,"&lt;&gt;*短期入所*")</f>
        <v>0</v>
      </c>
      <c r="AK5" s="642"/>
      <c r="AL5" s="642"/>
      <c r="AM5" s="642"/>
      <c r="AN5" s="642"/>
      <c r="AO5" s="643"/>
      <c r="AP5" s="660"/>
      <c r="AQ5" s="660"/>
      <c r="AS5" s="643"/>
      <c r="BO5" s="675"/>
      <c r="BP5" s="494"/>
      <c r="BQ5" s="494"/>
      <c r="BR5" s="494"/>
      <c r="BS5" s="494"/>
    </row>
    <row r="6" spans="1:72" ht="35.25" customHeight="1">
      <c r="A6" s="685" t="s">
        <v>646</v>
      </c>
      <c r="B6" s="688"/>
      <c r="C6" s="688"/>
      <c r="D6" s="688"/>
      <c r="E6" s="688"/>
      <c r="F6" s="688"/>
      <c r="G6" s="688"/>
      <c r="H6" s="688"/>
      <c r="I6" s="688"/>
      <c r="J6" s="692"/>
      <c r="K6" s="695">
        <f>IFERROR(SUM($AB:$AB),"")</f>
        <v>0</v>
      </c>
      <c r="L6" s="697">
        <f>IFERROR(SUMIF($AN$12:$AN$111,"加算対象",$AB12:$AB111),"")</f>
        <v>0</v>
      </c>
      <c r="M6" s="697"/>
      <c r="N6" s="697">
        <f>IFERROR(SUMIF($AN$12:$AN$111,"加算対象外",$AB12:$AB111),"")</f>
        <v>0</v>
      </c>
      <c r="O6" s="564" t="s">
        <v>125</v>
      </c>
      <c r="P6" s="577"/>
      <c r="Q6" s="576"/>
      <c r="R6" s="571"/>
      <c r="S6" s="2"/>
      <c r="T6" s="583"/>
      <c r="U6" s="583"/>
      <c r="V6" s="583"/>
      <c r="W6" s="583"/>
      <c r="X6" s="583"/>
      <c r="Y6" s="583"/>
      <c r="Z6" s="583"/>
      <c r="AA6" s="583"/>
      <c r="AB6" s="583"/>
      <c r="AC6" s="583"/>
      <c r="AD6" s="604"/>
      <c r="AE6" s="612" t="s">
        <v>315</v>
      </c>
      <c r="AF6" s="620"/>
      <c r="AG6" s="620"/>
      <c r="AH6" s="620"/>
      <c r="AI6" s="628"/>
      <c r="AJ6" s="635">
        <f>SUMIFS(AG:AG,AU:AU,"対象",BM:BM,"その他",K:K,"&lt;&gt;*短期入所*")</f>
        <v>0</v>
      </c>
      <c r="AK6" s="643"/>
      <c r="AL6" s="643"/>
      <c r="AM6" s="643"/>
      <c r="AN6" s="643"/>
      <c r="AO6" s="643"/>
      <c r="AP6" s="660"/>
      <c r="AQ6" s="660"/>
      <c r="AS6" s="643"/>
      <c r="AV6" s="665"/>
      <c r="AW6" s="665"/>
      <c r="AX6" s="665"/>
      <c r="AY6" s="666"/>
      <c r="AZ6" s="666"/>
      <c r="BA6" s="666"/>
      <c r="BB6" s="666"/>
      <c r="BC6" s="666"/>
      <c r="BD6" s="666"/>
      <c r="BE6" s="666"/>
      <c r="BF6" s="666"/>
      <c r="BG6" s="666"/>
      <c r="BH6" s="666"/>
      <c r="BI6" s="666"/>
      <c r="BJ6" s="666"/>
      <c r="BK6" s="666"/>
      <c r="BL6" s="666"/>
      <c r="BM6" s="666"/>
      <c r="BN6" s="666"/>
      <c r="BO6" s="666"/>
      <c r="BP6" s="666"/>
      <c r="BQ6" s="666"/>
      <c r="BR6" s="666"/>
      <c r="BS6" s="666"/>
    </row>
    <row r="7" spans="1:72" ht="35.25" customHeight="1">
      <c r="A7" s="686"/>
      <c r="B7" s="689" t="s">
        <v>653</v>
      </c>
      <c r="C7" s="690"/>
      <c r="D7" s="690"/>
      <c r="E7" s="690"/>
      <c r="F7" s="690"/>
      <c r="G7" s="690"/>
      <c r="H7" s="690"/>
      <c r="I7" s="690"/>
      <c r="J7" s="693"/>
      <c r="K7" s="695">
        <f>IFERROR(SUM($AC:$AC),"")</f>
        <v>0</v>
      </c>
      <c r="L7" s="697">
        <f>IFERROR(SUMIF($AN$12:$AN$111,"加算対象",$AC12:$AC111),"")</f>
        <v>0</v>
      </c>
      <c r="M7" s="697"/>
      <c r="N7" s="699"/>
      <c r="O7" s="564" t="s">
        <v>125</v>
      </c>
      <c r="P7" s="577"/>
      <c r="Q7" s="576"/>
      <c r="R7" s="571"/>
      <c r="S7" s="2"/>
      <c r="T7" s="583"/>
      <c r="U7" s="583"/>
      <c r="V7" s="583"/>
      <c r="W7" s="583"/>
      <c r="X7" s="583"/>
      <c r="Y7" s="583"/>
      <c r="Z7" s="583"/>
      <c r="AA7" s="583"/>
      <c r="AB7" s="583"/>
      <c r="AC7" s="583"/>
      <c r="AD7" s="604"/>
      <c r="AE7" s="612" t="s">
        <v>347</v>
      </c>
      <c r="AF7" s="620"/>
      <c r="AG7" s="620"/>
      <c r="AH7" s="620"/>
      <c r="AI7" s="628"/>
      <c r="AJ7" s="635">
        <f>COUNTIFS(AU:AU,"対象",BM:BM,"その他",K:K,"&lt;&gt;*短期入所*",AG:AG,0,AH:AH,"令和８年度特例要件*")</f>
        <v>0</v>
      </c>
      <c r="AK7" s="643"/>
      <c r="AL7" s="643"/>
      <c r="AM7" s="643"/>
      <c r="AN7" s="643"/>
      <c r="AO7" s="643"/>
      <c r="AP7" s="660"/>
      <c r="AQ7" s="660"/>
      <c r="AS7" s="643"/>
      <c r="AV7" s="665"/>
      <c r="AW7" s="665"/>
      <c r="AX7" s="665"/>
      <c r="AY7" s="666"/>
      <c r="AZ7" s="666"/>
      <c r="BA7" s="666"/>
      <c r="BB7" s="666"/>
      <c r="BC7" s="666"/>
      <c r="BD7" s="666"/>
      <c r="BE7" s="666"/>
      <c r="BF7" s="666"/>
      <c r="BG7" s="666"/>
      <c r="BH7" s="666"/>
      <c r="BI7" s="666"/>
      <c r="BJ7" s="666"/>
      <c r="BK7" s="666"/>
      <c r="BL7" s="666"/>
      <c r="BM7" s="666"/>
      <c r="BN7" s="666"/>
      <c r="BO7" s="666"/>
      <c r="BP7" s="666"/>
      <c r="BQ7" s="666"/>
      <c r="BR7" s="666"/>
      <c r="BS7" s="666"/>
    </row>
    <row r="8" spans="1:72"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58"/>
      <c r="AR8" s="663"/>
      <c r="AS8" s="663"/>
      <c r="AT8" s="663"/>
      <c r="AU8" s="663"/>
      <c r="AV8" s="663"/>
      <c r="AW8" s="663"/>
      <c r="AX8" s="663"/>
      <c r="AY8" s="663"/>
      <c r="AZ8" s="663"/>
      <c r="BA8" s="663"/>
      <c r="BB8" s="663"/>
      <c r="BC8" s="663"/>
      <c r="BD8" s="663"/>
      <c r="BE8" s="663"/>
      <c r="BF8" s="663"/>
      <c r="BG8" s="663"/>
      <c r="BH8" s="663"/>
      <c r="BI8" s="663"/>
      <c r="BJ8" s="663"/>
      <c r="BK8" s="663"/>
      <c r="BL8" s="663"/>
      <c r="BM8" s="663"/>
      <c r="BN8" s="663"/>
      <c r="BO8" s="663"/>
      <c r="BP8" s="494"/>
      <c r="BQ8" s="494"/>
      <c r="BR8" s="494"/>
      <c r="BS8" s="494"/>
    </row>
    <row r="9" spans="1:72" s="495" customFormat="1" ht="31.9" customHeight="1">
      <c r="A9" s="133"/>
      <c r="B9" s="512"/>
      <c r="C9" s="512"/>
      <c r="D9" s="512"/>
      <c r="E9" s="512"/>
      <c r="F9" s="512"/>
      <c r="G9" s="133"/>
      <c r="H9" s="133"/>
      <c r="I9" s="540"/>
      <c r="J9" s="133"/>
      <c r="K9" s="2"/>
      <c r="L9" s="133"/>
      <c r="M9" s="184"/>
      <c r="N9" s="613" t="str">
        <f>IF(D3="","",IFERROR(IF(COUNTIF(AO12:AO111,"N列に色付け")=COUNTA(N12:N111),"○","×"),""))</f>
        <v/>
      </c>
      <c r="O9" s="571"/>
      <c r="P9" s="2"/>
      <c r="Q9" s="583"/>
      <c r="R9" s="583"/>
      <c r="S9" s="583"/>
      <c r="T9" s="583"/>
      <c r="U9" s="583"/>
      <c r="V9" s="583"/>
      <c r="W9" s="583"/>
      <c r="X9" s="583"/>
      <c r="Y9" s="583"/>
      <c r="Z9" s="583"/>
      <c r="AA9" s="583"/>
      <c r="AB9" s="594"/>
      <c r="AC9" s="599" t="str">
        <f>IF(D3="","",IFERROR(IF(COUNTIF(AP12:AP111,"未入力")=0,"○","×"),""))</f>
        <v/>
      </c>
      <c r="AD9" s="606"/>
      <c r="AE9" s="613" t="str">
        <f>IF(D3="","",IFERROR(IF(COUNTIF(AR:AR,"未入力")=0,"○","×"),""))</f>
        <v/>
      </c>
      <c r="AF9" s="613" t="str">
        <f>IF(D3="","",IFERROR(IF(COUNTIF(AT:AT,"未入力")=0,"○","×"),""))</f>
        <v/>
      </c>
      <c r="AG9" s="599" t="str">
        <f>IF(D3="","",IFERROR(IF(COUNTIF(AX:AX,"未入力")=0,"○","×"),""))</f>
        <v/>
      </c>
      <c r="AH9" s="606"/>
      <c r="AI9" s="629" t="str">
        <f>IF(D3="","",IF(COUNTIF(BA:BA,"未入力")=0,"○","×"))</f>
        <v/>
      </c>
      <c r="AJ9" s="629" t="str">
        <f>IF(D3="","",IF(BJ12=0,"",IF(COUNTIF(BD12:BD111,"未入力")+COUNTIF(BH12:BH111,"未入力")=0,"○","×")))</f>
        <v/>
      </c>
      <c r="AK9" s="644"/>
      <c r="AL9" s="644"/>
      <c r="AM9" s="641"/>
      <c r="AN9" s="641"/>
      <c r="BB9" s="667"/>
      <c r="BC9" s="667"/>
      <c r="BD9" s="667"/>
      <c r="BE9" s="667"/>
      <c r="BF9" s="667"/>
      <c r="BG9" s="667"/>
      <c r="BH9" s="667"/>
      <c r="BI9" s="667"/>
      <c r="BJ9" s="667"/>
      <c r="BK9" s="667"/>
      <c r="BL9" s="667"/>
      <c r="BM9" s="681"/>
    </row>
    <row r="10" spans="1:72" ht="53.25" customHeight="1">
      <c r="A10" s="504"/>
      <c r="B10" s="513" t="s">
        <v>139</v>
      </c>
      <c r="C10" s="519"/>
      <c r="D10" s="519"/>
      <c r="E10" s="519"/>
      <c r="F10" s="526"/>
      <c r="G10" s="532" t="s">
        <v>178</v>
      </c>
      <c r="H10" s="536" t="s">
        <v>29</v>
      </c>
      <c r="I10" s="536"/>
      <c r="J10" s="542" t="s">
        <v>658</v>
      </c>
      <c r="K10" s="547" t="s">
        <v>131</v>
      </c>
      <c r="L10" s="551" t="s">
        <v>132</v>
      </c>
      <c r="M10" s="559" t="s">
        <v>663</v>
      </c>
      <c r="N10" s="700" t="s">
        <v>730</v>
      </c>
      <c r="O10" s="703" t="s">
        <v>669</v>
      </c>
      <c r="P10" s="579" t="s">
        <v>332</v>
      </c>
      <c r="Q10" s="584"/>
      <c r="R10" s="584"/>
      <c r="S10" s="584"/>
      <c r="T10" s="584"/>
      <c r="U10" s="584"/>
      <c r="V10" s="584"/>
      <c r="W10" s="584"/>
      <c r="X10" s="584"/>
      <c r="Y10" s="584"/>
      <c r="Z10" s="584"/>
      <c r="AA10" s="590"/>
      <c r="AB10" s="595" t="s">
        <v>672</v>
      </c>
      <c r="AC10" s="600" t="s">
        <v>674</v>
      </c>
      <c r="AD10" s="572"/>
      <c r="AE10" s="614" t="s">
        <v>582</v>
      </c>
      <c r="AF10" s="614" t="s">
        <v>677</v>
      </c>
      <c r="AG10" s="614" t="s">
        <v>414</v>
      </c>
      <c r="AH10" s="572"/>
      <c r="AI10" s="630" t="s">
        <v>218</v>
      </c>
      <c r="AJ10" s="636" t="s">
        <v>680</v>
      </c>
      <c r="AK10" s="646"/>
      <c r="AL10" s="646"/>
      <c r="AM10" s="651"/>
      <c r="AN10" s="654" t="s">
        <v>493</v>
      </c>
      <c r="AO10" s="659"/>
      <c r="AR10" s="664"/>
      <c r="AS10" s="664"/>
      <c r="AT10" s="664"/>
      <c r="AU10" s="664"/>
      <c r="AV10" s="664"/>
      <c r="AW10" s="664"/>
      <c r="AX10" s="664"/>
      <c r="AY10" s="664"/>
      <c r="AZ10" s="664"/>
      <c r="BA10" s="664"/>
      <c r="BB10" s="664"/>
      <c r="BC10" s="664"/>
      <c r="BD10" s="664"/>
      <c r="BE10" s="664"/>
      <c r="BF10" s="664"/>
      <c r="BG10" s="664"/>
      <c r="BH10" s="664"/>
      <c r="BI10" s="664"/>
      <c r="BJ10" s="664"/>
      <c r="BK10" s="664"/>
      <c r="BL10" s="664"/>
      <c r="BQ10" s="675"/>
      <c r="BR10" s="683"/>
      <c r="BS10" s="494"/>
    </row>
    <row r="11" spans="1:72" ht="159.75" customHeight="1">
      <c r="A11" s="505"/>
      <c r="B11" s="514"/>
      <c r="C11" s="520"/>
      <c r="D11" s="520"/>
      <c r="E11" s="520"/>
      <c r="F11" s="527"/>
      <c r="G11" s="533"/>
      <c r="H11" s="537" t="s">
        <v>243</v>
      </c>
      <c r="I11" s="537" t="s">
        <v>558</v>
      </c>
      <c r="J11" s="543"/>
      <c r="K11" s="548"/>
      <c r="L11" s="552"/>
      <c r="M11" s="560"/>
      <c r="N11" s="701"/>
      <c r="O11" s="704"/>
      <c r="P11" s="580"/>
      <c r="Q11" s="585"/>
      <c r="R11" s="585"/>
      <c r="S11" s="585"/>
      <c r="T11" s="585"/>
      <c r="U11" s="585"/>
      <c r="V11" s="585"/>
      <c r="W11" s="585"/>
      <c r="X11" s="585"/>
      <c r="Y11" s="585"/>
      <c r="Z11" s="585"/>
      <c r="AA11" s="591"/>
      <c r="AB11" s="596"/>
      <c r="AC11" s="601" t="s">
        <v>20</v>
      </c>
      <c r="AD11" s="607" t="s">
        <v>3</v>
      </c>
      <c r="AE11" s="615" t="s">
        <v>34</v>
      </c>
      <c r="AF11" s="621" t="s">
        <v>681</v>
      </c>
      <c r="AG11" s="621" t="s">
        <v>686</v>
      </c>
      <c r="AH11" s="705" t="s">
        <v>116</v>
      </c>
      <c r="AI11" s="631" t="s">
        <v>688</v>
      </c>
      <c r="AJ11" s="637" t="s">
        <v>689</v>
      </c>
      <c r="AK11" s="645" t="s">
        <v>691</v>
      </c>
      <c r="AL11" s="649"/>
      <c r="AM11" s="652"/>
      <c r="AN11" s="655" t="s">
        <v>735</v>
      </c>
      <c r="AO11" s="655" t="s">
        <v>697</v>
      </c>
      <c r="AP11" s="709" t="s">
        <v>588</v>
      </c>
      <c r="AQ11" s="655" t="s">
        <v>86</v>
      </c>
      <c r="AR11" s="655" t="s">
        <v>449</v>
      </c>
      <c r="AS11" s="655" t="s">
        <v>698</v>
      </c>
      <c r="AT11" s="655" t="s">
        <v>184</v>
      </c>
      <c r="AU11" s="711" t="s">
        <v>703</v>
      </c>
      <c r="AV11" s="711" t="s">
        <v>242</v>
      </c>
      <c r="AW11" s="655" t="s">
        <v>704</v>
      </c>
      <c r="AX11" s="711" t="s">
        <v>737</v>
      </c>
      <c r="AY11" s="711" t="s">
        <v>538</v>
      </c>
      <c r="AZ11" s="655" t="s">
        <v>705</v>
      </c>
      <c r="BA11" s="711" t="s">
        <v>706</v>
      </c>
      <c r="BB11" s="711" t="s">
        <v>578</v>
      </c>
      <c r="BC11" s="655" t="s">
        <v>709</v>
      </c>
      <c r="BD11" s="711" t="s">
        <v>405</v>
      </c>
      <c r="BE11" s="711" t="s">
        <v>740</v>
      </c>
      <c r="BF11" s="711" t="s">
        <v>744</v>
      </c>
      <c r="BG11" s="711" t="s">
        <v>294</v>
      </c>
      <c r="BH11" s="711" t="s">
        <v>747</v>
      </c>
      <c r="BI11" s="712" t="s">
        <v>713</v>
      </c>
      <c r="BJ11" s="714" t="s">
        <v>752</v>
      </c>
      <c r="BK11" s="494"/>
      <c r="BL11" s="716" t="s">
        <v>718</v>
      </c>
      <c r="BM11" s="680" t="s">
        <v>769</v>
      </c>
      <c r="BN11" s="494"/>
      <c r="BO11" s="494"/>
      <c r="BP11" s="494"/>
      <c r="BQ11" s="494"/>
      <c r="BR11" s="494"/>
      <c r="BS11" s="494"/>
    </row>
    <row r="12" spans="1:72"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IF(AND(基本情報入力シート!AG40="",基本情報入力シート!AG40=""),"",基本情報入力シート!AG40)</f>
        <v/>
      </c>
      <c r="N12" s="569"/>
      <c r="O12" s="574" t="str">
        <f>IFERROR(VLOOKUP(K12,'【参考】数式用'!$A$2:$M$57,MATCH(N12,'【参考】数式用'!$G$3:$M$3,0)+6,0),"")</f>
        <v/>
      </c>
      <c r="P12" s="581" t="s">
        <v>543</v>
      </c>
      <c r="Q12" s="586"/>
      <c r="R12" s="588" t="s">
        <v>75</v>
      </c>
      <c r="S12" s="586"/>
      <c r="T12" s="588" t="s">
        <v>159</v>
      </c>
      <c r="U12" s="586"/>
      <c r="V12" s="588" t="s">
        <v>75</v>
      </c>
      <c r="W12" s="586"/>
      <c r="X12" s="588" t="s">
        <v>722</v>
      </c>
      <c r="Y12" s="588" t="s">
        <v>161</v>
      </c>
      <c r="Z12" s="588" t="str">
        <f t="shared" ref="Z12:Z75" si="0">IF(Q12&gt;=1,(U12*12+W12)-(Q12*12+S12)+1,"")</f>
        <v/>
      </c>
      <c r="AA12" s="592" t="s">
        <v>6</v>
      </c>
      <c r="AB12" s="597" t="str">
        <f t="shared" ref="AB12:AB75" si="1">IFERROR(ROUNDDOWN(ROUND(L12*O12,0)*M12,0)*Z12,"")</f>
        <v/>
      </c>
      <c r="AC12" s="602" t="str">
        <f>IFERROR(ROUNDDOWN(ROUNDDOWN(ROUND(L12*VLOOKUP(K12,'【参考】数式用'!$A$2:$M$57,MATCH("処遇改善加算Ⅳ",'【参考】数式用'!$G$3:$M$3,0)+6,0),0)*M12,0)*Z12*0.5,0),"")</f>
        <v/>
      </c>
      <c r="AD12" s="608"/>
      <c r="AE12" s="616"/>
      <c r="AF12" s="616"/>
      <c r="AG12" s="622"/>
      <c r="AH12" s="625"/>
      <c r="AI12" s="706"/>
      <c r="AJ12" s="632"/>
      <c r="AK12" s="647"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50"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53"/>
      <c r="AN12" s="708" t="str">
        <f>IFERROR(VLOOKUP(K12,'【参考】数式用'!$A$2:$N$57,14,FALSE),"")</f>
        <v/>
      </c>
      <c r="AO12" s="708" t="str">
        <f t="shared" ref="AO12:AO75" si="4">IF(AND(K12&lt;&gt;""),"N列に色付け","")</f>
        <v/>
      </c>
      <c r="AP12" s="710" t="str">
        <f t="shared" ref="AP12:AP75" si="5">IF(AND(AC12&lt;&gt;0,AC12&lt;&gt;"",AN12="加算対象"),IF(AD12="○","入力済","未入力"),"")</f>
        <v/>
      </c>
      <c r="AQ12" s="710" t="str">
        <f t="shared" ref="AQ12:AQ75" si="6">"キャリアパス要件Ⅰ・Ⅱ_"&amp;AN12</f>
        <v>キャリアパス要件Ⅰ・Ⅱ_</v>
      </c>
      <c r="AR12" s="661" t="str">
        <f t="shared" ref="AR12:AR75" si="7">IF(AND(N12&lt;&gt;"",AE12=""),"未入力","入力済")</f>
        <v>入力済</v>
      </c>
      <c r="AS12" s="708" t="str">
        <f t="shared" ref="AS12:AS75" si="8">IF(AND(N12&lt;&gt;"",N12&lt;&gt;"処遇改善加算Ⅳ",AN12="加算対象"),"AF列に色付け","")</f>
        <v/>
      </c>
      <c r="AT12" s="661" t="str">
        <f t="shared" ref="AT12:AT75" si="9">IF(AND(N12&lt;&gt;"",N12&lt;&gt;"処遇改善加算Ⅳ",N12&lt;&gt;"処遇改善加算",AF12=""),"未入力","入力済")</f>
        <v>入力済</v>
      </c>
      <c r="AU12" s="661" t="str">
        <f t="shared" ref="AU12:AU75" si="10">IF(OR(ISNUMBER(SEARCH("処遇改善加算Ⅰ",N12)),ISNUMBER(SEARCH("処遇改善加算Ⅱ",N12))),"対象","")</f>
        <v/>
      </c>
      <c r="AV12" s="661" t="str">
        <f t="shared" ref="AV12:AV75" si="11">IF(AND(AN12="加算対象",N12&lt;&gt;"処遇改善加算Ⅲ",N12&lt;&gt;"処遇改善加算Ⅳ",N12&lt;&gt;"",AU12&lt;&gt;"対象外"),1,"")</f>
        <v/>
      </c>
      <c r="AW12" s="708" t="str">
        <f t="shared" ref="AW12:AW75" si="12">IF(AND(AV12=1,OR(AG12=0,AG12=""),AN12="加算対象"),"AH列に色付け","")</f>
        <v/>
      </c>
      <c r="AX12" s="708" t="str">
        <f t="shared" ref="AX12:AX75" si="13">IF(AND($AV12=1,$AW12="AH列に色付け",OR($AG12="",$AH12="")),"未入力",IF(AND($AV12=1,$AW12="",$AG12=""),"未入力","入力済"))</f>
        <v>入力済</v>
      </c>
      <c r="AY12" s="661" t="str">
        <f>IFERROR(VLOOKUP(K12,'【参考】数式用'!$AR$3:$AS$49,2,FALSE),"")</f>
        <v/>
      </c>
      <c r="AZ12" s="708" t="str">
        <f t="shared" ref="AZ12:AZ75" si="14">IF(AND(AN12="加算対象",OR(N12="処遇改善加算Ⅰイ",N12="処遇改善加算Ⅰロ")),"AI列に色付け","")</f>
        <v/>
      </c>
      <c r="BA12" s="656" t="str">
        <f t="shared" ref="BA12:BA75" si="15">IF(AND(OR(N12="処遇改善加算Ⅰイ",N12="処遇改善加算Ⅰロ"),AI12=""),"未入力","入力済")</f>
        <v>入力済</v>
      </c>
      <c r="BB12" s="661" t="str">
        <f>IFERROR(VLOOKUP(K12,'【参考】数式用'!$AX$3:$AY$56,2,FALSE),"")</f>
        <v/>
      </c>
      <c r="BC12" s="708" t="str">
        <f t="shared" ref="BC12:BC75" si="16">IF(OR(COUNTIF(AE12:AH12,"*令和８年度特例要件を*")&gt;0,ISNUMBER(SEARCH("処遇改善加算Ⅰロ",N12)),ISNUMBER(SEARCH("処遇改善加算Ⅱロ",N12)),AN12="加算対象外"),"AJ列に色付け","")</f>
        <v/>
      </c>
      <c r="BD12" s="656" t="str">
        <f t="shared" ref="BD12:BD75" si="17">IF(AND(COUNTIF(AE12:AH12,"*令和８年度特例要件を*")&gt;0,AJ12=""),"未入力","入力済")</f>
        <v>入力済</v>
      </c>
      <c r="BE12" s="656" t="str">
        <f t="shared" ref="BE12:BE75" si="18">IF(AH12="*その他*","AJ列色消し",IF(OR(ISNUMBER(SEARCH("処遇改善加算Ⅰロ",N12)),ISNUMBER(SEARCH("処遇改善加算Ⅱロ",N12))),"",IF(AND(BC12="AJ列に色付け",AE12="○",AF12="○",AG12&gt;=1),"AJ列色消し","")))</f>
        <v/>
      </c>
      <c r="BF12" s="656" t="str">
        <f t="shared" ref="BF12:BF75" si="19">IF(AND(N12="処遇改善加算",AE12="○"),"AJ列色消し","")</f>
        <v/>
      </c>
      <c r="BG12" s="656" t="str">
        <f t="shared" ref="BG12:BG75" si="20">IF(OR(TRIM(BC12)="",BE12="AJ列色消し",BF12="AJ列色消し"),"","入力必要")</f>
        <v/>
      </c>
      <c r="BH12" s="656" t="str">
        <f t="shared" ref="BH12:BH75" si="21">IF(AND(BE12="",BG12="入力必要"),IF(AJ12="","未入力","入力済"),"")</f>
        <v/>
      </c>
      <c r="BI12" s="713" t="str">
        <f t="shared" ref="BI12:BI75" si="22">G12</f>
        <v/>
      </c>
      <c r="BJ12" s="715">
        <f>IF(COUNTIF(BG:BG,"*入力必要*"),1,0)</f>
        <v>0</v>
      </c>
      <c r="BK12" s="664" t="str">
        <f>IF(D3="","",IF(SUM(AJ6:AJ7)&gt;=AJ5,"○","×"))</f>
        <v/>
      </c>
      <c r="BL12" s="717">
        <f>IF(COUNTIF(AH$12:AH$1048576,"*その他*"),1,0)</f>
        <v>0</v>
      </c>
      <c r="BM12" s="680" t="e">
        <f>VLOOKUP(K12,'【参考】数式用'!$A$2:$O$57,15,FALSE)</f>
        <v>#N/A</v>
      </c>
      <c r="BN12" s="494"/>
      <c r="BO12" s="494"/>
      <c r="BP12" s="494"/>
      <c r="BQ12" s="682"/>
      <c r="BR12" s="494"/>
      <c r="BS12" s="494"/>
    </row>
    <row r="13" spans="1:72"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IF(AND(基本情報入力シート!AG41="",基本情報入力シート!AG41=""),"",基本情報入力シート!AG41)</f>
        <v/>
      </c>
      <c r="N13" s="569"/>
      <c r="O13" s="574" t="str">
        <f>IFERROR(VLOOKUP(K13,'【参考】数式用'!$A$2:$M$57,MATCH(N13,'【参考】数式用'!$G$3:$M$3,0)+6,0),"")</f>
        <v/>
      </c>
      <c r="P13" s="581" t="s">
        <v>543</v>
      </c>
      <c r="Q13" s="586"/>
      <c r="R13" s="588" t="s">
        <v>75</v>
      </c>
      <c r="S13" s="586"/>
      <c r="T13" s="588" t="s">
        <v>159</v>
      </c>
      <c r="U13" s="586"/>
      <c r="V13" s="588" t="s">
        <v>75</v>
      </c>
      <c r="W13" s="586"/>
      <c r="X13" s="588" t="s">
        <v>722</v>
      </c>
      <c r="Y13" s="588" t="s">
        <v>161</v>
      </c>
      <c r="Z13" s="588" t="str">
        <f t="shared" si="0"/>
        <v/>
      </c>
      <c r="AA13" s="592" t="s">
        <v>6</v>
      </c>
      <c r="AB13" s="597" t="str">
        <f t="shared" si="1"/>
        <v/>
      </c>
      <c r="AC13" s="602" t="str">
        <f>IFERROR(ROUNDDOWN(ROUNDDOWN(ROUND(L13*VLOOKUP(K13,'【参考】数式用'!$A$2:$M$57,MATCH("処遇改善加算Ⅳ",'【参考】数式用'!$G$3:$M$3,0)+6,0),0)*M13,0)*Z13*0.5,0),"")</f>
        <v/>
      </c>
      <c r="AD13" s="608"/>
      <c r="AE13" s="616"/>
      <c r="AF13" s="616"/>
      <c r="AG13" s="622"/>
      <c r="AH13" s="625"/>
      <c r="AI13" s="706"/>
      <c r="AJ13" s="632"/>
      <c r="AK13" s="647" t="str">
        <f t="shared" si="2"/>
        <v/>
      </c>
      <c r="AL13" s="650" t="str">
        <f t="shared" si="3"/>
        <v/>
      </c>
      <c r="AM13" s="653"/>
      <c r="AN13" s="708" t="str">
        <f>IFERROR(VLOOKUP(K13,'【参考】数式用'!$A$2:$N$57,14,FALSE),"")</f>
        <v/>
      </c>
      <c r="AO13" s="708" t="str">
        <f t="shared" si="4"/>
        <v/>
      </c>
      <c r="AP13" s="710" t="str">
        <f t="shared" si="5"/>
        <v/>
      </c>
      <c r="AQ13" s="710" t="str">
        <f t="shared" si="6"/>
        <v>キャリアパス要件Ⅰ・Ⅱ_</v>
      </c>
      <c r="AR13" s="661" t="str">
        <f t="shared" si="7"/>
        <v>入力済</v>
      </c>
      <c r="AS13" s="708" t="str">
        <f t="shared" si="8"/>
        <v/>
      </c>
      <c r="AT13" s="661" t="str">
        <f t="shared" si="9"/>
        <v>入力済</v>
      </c>
      <c r="AU13" s="661" t="str">
        <f t="shared" si="10"/>
        <v/>
      </c>
      <c r="AV13" s="661" t="str">
        <f t="shared" si="11"/>
        <v/>
      </c>
      <c r="AW13" s="708" t="str">
        <f t="shared" si="12"/>
        <v/>
      </c>
      <c r="AX13" s="708" t="str">
        <f t="shared" si="13"/>
        <v>入力済</v>
      </c>
      <c r="AY13" s="661" t="str">
        <f>IFERROR(VLOOKUP(K13,'【参考】数式用'!$AR$3:$AS$49,2,FALSE),"")</f>
        <v/>
      </c>
      <c r="AZ13" s="708" t="str">
        <f t="shared" si="14"/>
        <v/>
      </c>
      <c r="BA13" s="656" t="str">
        <f t="shared" si="15"/>
        <v>入力済</v>
      </c>
      <c r="BB13" s="661" t="str">
        <f>IFERROR(VLOOKUP(K13,'【参考】数式用'!$AX$3:$AY$56,2,FALSE),"")</f>
        <v/>
      </c>
      <c r="BC13" s="708" t="str">
        <f t="shared" si="16"/>
        <v/>
      </c>
      <c r="BD13" s="656" t="str">
        <f t="shared" si="17"/>
        <v>入力済</v>
      </c>
      <c r="BE13" s="656" t="str">
        <f t="shared" si="18"/>
        <v/>
      </c>
      <c r="BF13" s="656" t="str">
        <f t="shared" si="19"/>
        <v/>
      </c>
      <c r="BG13" s="656" t="str">
        <f t="shared" si="20"/>
        <v/>
      </c>
      <c r="BH13" s="656" t="str">
        <f t="shared" si="21"/>
        <v/>
      </c>
      <c r="BI13" s="656" t="str">
        <f t="shared" si="22"/>
        <v/>
      </c>
      <c r="BJ13" s="658"/>
      <c r="BK13" s="658"/>
      <c r="BL13" s="658"/>
      <c r="BM13" s="680" t="e">
        <f>VLOOKUP(K13,'【参考】数式用'!$A$2:$O$57,15,FALSE)</f>
        <v>#N/A</v>
      </c>
      <c r="BN13" s="658"/>
      <c r="BO13" s="658"/>
      <c r="BP13" s="658"/>
      <c r="BQ13" s="658"/>
      <c r="BR13" s="658"/>
      <c r="BS13" s="675"/>
      <c r="BT13" s="494"/>
    </row>
    <row r="14" spans="1:72"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IF(AND(基本情報入力シート!AG42="",基本情報入力シート!AG42=""),"",基本情報入力シート!AG42)</f>
        <v/>
      </c>
      <c r="N14" s="569"/>
      <c r="O14" s="574" t="str">
        <f>IFERROR(VLOOKUP(K14,'【参考】数式用'!$A$2:$M$57,MATCH(N14,'【参考】数式用'!$G$3:$M$3,0)+6,0),"")</f>
        <v/>
      </c>
      <c r="P14" s="581" t="s">
        <v>543</v>
      </c>
      <c r="Q14" s="586"/>
      <c r="R14" s="588" t="s">
        <v>75</v>
      </c>
      <c r="S14" s="586"/>
      <c r="T14" s="588" t="s">
        <v>159</v>
      </c>
      <c r="U14" s="586"/>
      <c r="V14" s="588" t="s">
        <v>75</v>
      </c>
      <c r="W14" s="586"/>
      <c r="X14" s="588" t="s">
        <v>722</v>
      </c>
      <c r="Y14" s="588" t="s">
        <v>161</v>
      </c>
      <c r="Z14" s="588" t="str">
        <f t="shared" si="0"/>
        <v/>
      </c>
      <c r="AA14" s="592" t="s">
        <v>6</v>
      </c>
      <c r="AB14" s="597" t="str">
        <f t="shared" si="1"/>
        <v/>
      </c>
      <c r="AC14" s="602" t="str">
        <f>IFERROR(ROUNDDOWN(ROUNDDOWN(ROUND(L14*VLOOKUP(K14,'【参考】数式用'!$A$2:$M$57,MATCH("処遇改善加算Ⅳ",'【参考】数式用'!$G$3:$M$3,0)+6,0),0)*M14,0)*Z14*0.5,0),"")</f>
        <v/>
      </c>
      <c r="AD14" s="608"/>
      <c r="AE14" s="616"/>
      <c r="AF14" s="616"/>
      <c r="AG14" s="622"/>
      <c r="AH14" s="625"/>
      <c r="AI14" s="706"/>
      <c r="AJ14" s="632"/>
      <c r="AK14" s="647" t="str">
        <f t="shared" si="2"/>
        <v/>
      </c>
      <c r="AL14" s="650" t="str">
        <f t="shared" si="3"/>
        <v/>
      </c>
      <c r="AM14" s="653"/>
      <c r="AN14" s="708" t="str">
        <f>IFERROR(VLOOKUP(K14,'【参考】数式用'!$A$2:$N$57,14,FALSE),"")</f>
        <v/>
      </c>
      <c r="AO14" s="708" t="str">
        <f t="shared" si="4"/>
        <v/>
      </c>
      <c r="AP14" s="710" t="str">
        <f t="shared" si="5"/>
        <v/>
      </c>
      <c r="AQ14" s="710" t="str">
        <f t="shared" si="6"/>
        <v>キャリアパス要件Ⅰ・Ⅱ_</v>
      </c>
      <c r="AR14" s="661" t="str">
        <f t="shared" si="7"/>
        <v>入力済</v>
      </c>
      <c r="AS14" s="708" t="str">
        <f t="shared" si="8"/>
        <v/>
      </c>
      <c r="AT14" s="661" t="str">
        <f t="shared" si="9"/>
        <v>入力済</v>
      </c>
      <c r="AU14" s="661" t="str">
        <f t="shared" si="10"/>
        <v/>
      </c>
      <c r="AV14" s="661" t="str">
        <f t="shared" si="11"/>
        <v/>
      </c>
      <c r="AW14" s="708" t="str">
        <f t="shared" si="12"/>
        <v/>
      </c>
      <c r="AX14" s="708" t="str">
        <f t="shared" si="13"/>
        <v>入力済</v>
      </c>
      <c r="AY14" s="661" t="str">
        <f>IFERROR(VLOOKUP(K14,'【参考】数式用'!$AR$3:$AS$49,2,FALSE),"")</f>
        <v/>
      </c>
      <c r="AZ14" s="708" t="str">
        <f t="shared" si="14"/>
        <v/>
      </c>
      <c r="BA14" s="656" t="str">
        <f t="shared" si="15"/>
        <v>入力済</v>
      </c>
      <c r="BB14" s="661" t="str">
        <f>IFERROR(VLOOKUP(K14,'【参考】数式用'!$AX$3:$AY$56,2,FALSE),"")</f>
        <v/>
      </c>
      <c r="BC14" s="708" t="str">
        <f t="shared" si="16"/>
        <v/>
      </c>
      <c r="BD14" s="656" t="str">
        <f t="shared" si="17"/>
        <v>入力済</v>
      </c>
      <c r="BE14" s="656" t="str">
        <f t="shared" si="18"/>
        <v/>
      </c>
      <c r="BF14" s="656" t="str">
        <f t="shared" si="19"/>
        <v/>
      </c>
      <c r="BG14" s="656" t="str">
        <f t="shared" si="20"/>
        <v/>
      </c>
      <c r="BH14" s="656" t="str">
        <f t="shared" si="21"/>
        <v/>
      </c>
      <c r="BI14" s="656" t="str">
        <f t="shared" si="22"/>
        <v/>
      </c>
      <c r="BJ14" s="658"/>
      <c r="BK14" s="658"/>
      <c r="BL14" s="658"/>
      <c r="BM14" s="680" t="e">
        <f>VLOOKUP(K14,'【参考】数式用'!$A$2:$O$57,15,FALSE)</f>
        <v>#N/A</v>
      </c>
      <c r="BN14" s="658"/>
      <c r="BO14" s="658"/>
      <c r="BP14" s="658"/>
      <c r="BQ14" s="658"/>
      <c r="BR14" s="658"/>
      <c r="BS14" s="675"/>
      <c r="BT14" s="494"/>
    </row>
    <row r="15" spans="1:72"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IF(AND(基本情報入力シート!AG43="",基本情報入力シート!AG43=""),"",基本情報入力シート!AG43)</f>
        <v/>
      </c>
      <c r="N15" s="569"/>
      <c r="O15" s="574" t="str">
        <f>IFERROR(VLOOKUP(K15,'【参考】数式用'!$A$2:$M$57,MATCH(N15,'【参考】数式用'!$G$3:$M$3,0)+6,0),"")</f>
        <v/>
      </c>
      <c r="P15" s="581" t="s">
        <v>543</v>
      </c>
      <c r="Q15" s="586"/>
      <c r="R15" s="588" t="s">
        <v>75</v>
      </c>
      <c r="S15" s="586"/>
      <c r="T15" s="588" t="s">
        <v>159</v>
      </c>
      <c r="U15" s="586"/>
      <c r="V15" s="588" t="s">
        <v>75</v>
      </c>
      <c r="W15" s="586"/>
      <c r="X15" s="588" t="s">
        <v>722</v>
      </c>
      <c r="Y15" s="588" t="s">
        <v>161</v>
      </c>
      <c r="Z15" s="588" t="str">
        <f t="shared" si="0"/>
        <v/>
      </c>
      <c r="AA15" s="592" t="s">
        <v>6</v>
      </c>
      <c r="AB15" s="597" t="str">
        <f t="shared" si="1"/>
        <v/>
      </c>
      <c r="AC15" s="602" t="str">
        <f>IFERROR(ROUNDDOWN(ROUNDDOWN(ROUND(L15*VLOOKUP(K15,'【参考】数式用'!$A$2:$M$57,MATCH("処遇改善加算Ⅳ",'【参考】数式用'!$G$3:$M$3,0)+6,0),0)*M15,0)*Z15*0.5,0),"")</f>
        <v/>
      </c>
      <c r="AD15" s="608"/>
      <c r="AE15" s="616"/>
      <c r="AF15" s="616"/>
      <c r="AG15" s="622"/>
      <c r="AH15" s="625"/>
      <c r="AI15" s="706"/>
      <c r="AJ15" s="632"/>
      <c r="AK15" s="647" t="str">
        <f t="shared" si="2"/>
        <v/>
      </c>
      <c r="AL15" s="650" t="str">
        <f t="shared" si="3"/>
        <v/>
      </c>
      <c r="AM15" s="653"/>
      <c r="AN15" s="708" t="str">
        <f>IFERROR(VLOOKUP(K15,'【参考】数式用'!$A$2:$N$57,14,FALSE),"")</f>
        <v/>
      </c>
      <c r="AO15" s="708" t="str">
        <f t="shared" si="4"/>
        <v/>
      </c>
      <c r="AP15" s="710" t="str">
        <f t="shared" si="5"/>
        <v/>
      </c>
      <c r="AQ15" s="710" t="str">
        <f t="shared" si="6"/>
        <v>キャリアパス要件Ⅰ・Ⅱ_</v>
      </c>
      <c r="AR15" s="661" t="str">
        <f t="shared" si="7"/>
        <v>入力済</v>
      </c>
      <c r="AS15" s="708" t="str">
        <f t="shared" si="8"/>
        <v/>
      </c>
      <c r="AT15" s="661" t="str">
        <f t="shared" si="9"/>
        <v>入力済</v>
      </c>
      <c r="AU15" s="661" t="str">
        <f t="shared" si="10"/>
        <v/>
      </c>
      <c r="AV15" s="661" t="str">
        <f t="shared" si="11"/>
        <v/>
      </c>
      <c r="AW15" s="708" t="str">
        <f t="shared" si="12"/>
        <v/>
      </c>
      <c r="AX15" s="708" t="str">
        <f t="shared" si="13"/>
        <v>入力済</v>
      </c>
      <c r="AY15" s="661" t="str">
        <f>IFERROR(VLOOKUP(K15,'【参考】数式用'!$AR$3:$AS$49,2,FALSE),"")</f>
        <v/>
      </c>
      <c r="AZ15" s="708" t="str">
        <f t="shared" si="14"/>
        <v/>
      </c>
      <c r="BA15" s="656" t="str">
        <f t="shared" si="15"/>
        <v>入力済</v>
      </c>
      <c r="BB15" s="661" t="str">
        <f>IFERROR(VLOOKUP(K15,'【参考】数式用'!$AX$3:$AY$56,2,FALSE),"")</f>
        <v/>
      </c>
      <c r="BC15" s="708" t="str">
        <f t="shared" si="16"/>
        <v/>
      </c>
      <c r="BD15" s="656" t="str">
        <f t="shared" si="17"/>
        <v>入力済</v>
      </c>
      <c r="BE15" s="656" t="str">
        <f t="shared" si="18"/>
        <v/>
      </c>
      <c r="BF15" s="656" t="str">
        <f t="shared" si="19"/>
        <v/>
      </c>
      <c r="BG15" s="656" t="str">
        <f t="shared" si="20"/>
        <v/>
      </c>
      <c r="BH15" s="656" t="str">
        <f t="shared" si="21"/>
        <v/>
      </c>
      <c r="BI15" s="656" t="str">
        <f t="shared" si="22"/>
        <v/>
      </c>
      <c r="BJ15" s="658"/>
      <c r="BK15" s="658"/>
      <c r="BL15" s="658"/>
      <c r="BM15" s="680" t="e">
        <f>VLOOKUP(K15,'【参考】数式用'!$A$2:$O$57,15,FALSE)</f>
        <v>#N/A</v>
      </c>
      <c r="BN15" s="658"/>
      <c r="BO15" s="658"/>
      <c r="BP15" s="658"/>
      <c r="BQ15" s="658"/>
      <c r="BR15" s="658"/>
      <c r="BS15" s="675"/>
      <c r="BT15" s="494"/>
    </row>
    <row r="16" spans="1:72"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IF(AND(基本情報入力シート!AG44="",基本情報入力シート!AG44=""),"",基本情報入力シート!AG44)</f>
        <v/>
      </c>
      <c r="N16" s="569"/>
      <c r="O16" s="574" t="str">
        <f>IFERROR(VLOOKUP(K16,'【参考】数式用'!$A$2:$M$57,MATCH(N16,'【参考】数式用'!$G$3:$M$3,0)+6,0),"")</f>
        <v/>
      </c>
      <c r="P16" s="581" t="s">
        <v>543</v>
      </c>
      <c r="Q16" s="586"/>
      <c r="R16" s="588" t="s">
        <v>75</v>
      </c>
      <c r="S16" s="586"/>
      <c r="T16" s="588" t="s">
        <v>159</v>
      </c>
      <c r="U16" s="586"/>
      <c r="V16" s="588" t="s">
        <v>75</v>
      </c>
      <c r="W16" s="586"/>
      <c r="X16" s="588" t="s">
        <v>10</v>
      </c>
      <c r="Y16" s="588" t="s">
        <v>161</v>
      </c>
      <c r="Z16" s="588" t="str">
        <f t="shared" si="0"/>
        <v/>
      </c>
      <c r="AA16" s="592" t="s">
        <v>6</v>
      </c>
      <c r="AB16" s="597" t="str">
        <f t="shared" si="1"/>
        <v/>
      </c>
      <c r="AC16" s="602" t="str">
        <f>IFERROR(ROUNDDOWN(ROUNDDOWN(ROUND(L16*VLOOKUP(K16,'【参考】数式用'!$A$2:$M$57,MATCH("処遇改善加算Ⅳ",'【参考】数式用'!$G$3:$M$3,0)+6,0),0)*M16,0)*Z16*0.5,0),"")</f>
        <v/>
      </c>
      <c r="AD16" s="608"/>
      <c r="AE16" s="616"/>
      <c r="AF16" s="616"/>
      <c r="AG16" s="622"/>
      <c r="AH16" s="625"/>
      <c r="AI16" s="706"/>
      <c r="AJ16" s="632"/>
      <c r="AK16" s="647" t="str">
        <f t="shared" si="2"/>
        <v/>
      </c>
      <c r="AL16" s="650" t="str">
        <f t="shared" si="3"/>
        <v/>
      </c>
      <c r="AM16" s="653"/>
      <c r="AN16" s="708" t="str">
        <f>IFERROR(VLOOKUP(K16,'【参考】数式用'!$A$2:$N$57,14,FALSE),"")</f>
        <v/>
      </c>
      <c r="AO16" s="708" t="str">
        <f t="shared" si="4"/>
        <v/>
      </c>
      <c r="AP16" s="710" t="str">
        <f t="shared" si="5"/>
        <v/>
      </c>
      <c r="AQ16" s="710" t="str">
        <f t="shared" si="6"/>
        <v>キャリアパス要件Ⅰ・Ⅱ_</v>
      </c>
      <c r="AR16" s="661" t="str">
        <f t="shared" si="7"/>
        <v>入力済</v>
      </c>
      <c r="AS16" s="708" t="str">
        <f t="shared" si="8"/>
        <v/>
      </c>
      <c r="AT16" s="661" t="str">
        <f t="shared" si="9"/>
        <v>入力済</v>
      </c>
      <c r="AU16" s="661" t="str">
        <f t="shared" si="10"/>
        <v/>
      </c>
      <c r="AV16" s="661" t="str">
        <f t="shared" si="11"/>
        <v/>
      </c>
      <c r="AW16" s="708" t="str">
        <f t="shared" si="12"/>
        <v/>
      </c>
      <c r="AX16" s="708" t="str">
        <f t="shared" si="13"/>
        <v>入力済</v>
      </c>
      <c r="AY16" s="661" t="str">
        <f>IFERROR(VLOOKUP(K16,'【参考】数式用'!$AR$3:$AS$49,2,FALSE),"")</f>
        <v/>
      </c>
      <c r="AZ16" s="708" t="str">
        <f t="shared" si="14"/>
        <v/>
      </c>
      <c r="BA16" s="656" t="str">
        <f t="shared" si="15"/>
        <v>入力済</v>
      </c>
      <c r="BB16" s="661" t="str">
        <f>IFERROR(VLOOKUP(K16,'【参考】数式用'!$AX$3:$AY$56,2,FALSE),"")</f>
        <v/>
      </c>
      <c r="BC16" s="708" t="str">
        <f t="shared" si="16"/>
        <v/>
      </c>
      <c r="BD16" s="656" t="str">
        <f t="shared" si="17"/>
        <v>入力済</v>
      </c>
      <c r="BE16" s="656" t="str">
        <f t="shared" si="18"/>
        <v/>
      </c>
      <c r="BF16" s="656" t="str">
        <f t="shared" si="19"/>
        <v/>
      </c>
      <c r="BG16" s="656" t="str">
        <f t="shared" si="20"/>
        <v/>
      </c>
      <c r="BH16" s="656" t="str">
        <f t="shared" si="21"/>
        <v/>
      </c>
      <c r="BI16" s="656" t="str">
        <f t="shared" si="22"/>
        <v/>
      </c>
      <c r="BJ16" s="658"/>
      <c r="BK16" s="658"/>
      <c r="BL16" s="658"/>
      <c r="BM16" s="680" t="e">
        <f>VLOOKUP(K16,'【参考】数式用'!$A$2:$O$57,15,FALSE)</f>
        <v>#N/A</v>
      </c>
      <c r="BN16" s="658"/>
      <c r="BO16" s="658"/>
      <c r="BP16" s="658"/>
      <c r="BQ16" s="658"/>
      <c r="BR16" s="658"/>
      <c r="BS16" s="675"/>
      <c r="BT16" s="494"/>
    </row>
    <row r="17" spans="1:65"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IF(AND(基本情報入力シート!AG45="",基本情報入力シート!AG45=""),"",基本情報入力シート!AG45)</f>
        <v/>
      </c>
      <c r="N17" s="569"/>
      <c r="O17" s="574" t="str">
        <f>IFERROR(VLOOKUP(K17,'【参考】数式用'!$A$2:$M$57,MATCH(N17,'【参考】数式用'!$G$3:$M$3,0)+6,0),"")</f>
        <v/>
      </c>
      <c r="P17" s="581" t="s">
        <v>543</v>
      </c>
      <c r="Q17" s="586"/>
      <c r="R17" s="588" t="s">
        <v>75</v>
      </c>
      <c r="S17" s="586"/>
      <c r="T17" s="588" t="s">
        <v>159</v>
      </c>
      <c r="U17" s="586"/>
      <c r="V17" s="588" t="s">
        <v>75</v>
      </c>
      <c r="W17" s="586"/>
      <c r="X17" s="588" t="s">
        <v>10</v>
      </c>
      <c r="Y17" s="588" t="s">
        <v>161</v>
      </c>
      <c r="Z17" s="588" t="str">
        <f t="shared" si="0"/>
        <v/>
      </c>
      <c r="AA17" s="592" t="s">
        <v>6</v>
      </c>
      <c r="AB17" s="597" t="str">
        <f t="shared" si="1"/>
        <v/>
      </c>
      <c r="AC17" s="602" t="str">
        <f>IFERROR(ROUNDDOWN(ROUNDDOWN(ROUND(L17*VLOOKUP(K17,'【参考】数式用'!$A$2:$M$57,MATCH("処遇改善加算Ⅳ",'【参考】数式用'!$G$3:$M$3,0)+6,0),0)*M17,0)*Z17*0.5,0),"")</f>
        <v/>
      </c>
      <c r="AD17" s="608"/>
      <c r="AE17" s="616"/>
      <c r="AF17" s="616"/>
      <c r="AG17" s="622"/>
      <c r="AH17" s="625"/>
      <c r="AI17" s="706"/>
      <c r="AJ17" s="632"/>
      <c r="AK17" s="647" t="str">
        <f t="shared" si="2"/>
        <v/>
      </c>
      <c r="AL17" s="650" t="str">
        <f t="shared" si="3"/>
        <v/>
      </c>
      <c r="AM17" s="653"/>
      <c r="AN17" s="708" t="str">
        <f>IFERROR(VLOOKUP(K17,'【参考】数式用'!$A$2:$N$57,14,FALSE),"")</f>
        <v/>
      </c>
      <c r="AO17" s="708" t="str">
        <f t="shared" si="4"/>
        <v/>
      </c>
      <c r="AP17" s="710" t="str">
        <f t="shared" si="5"/>
        <v/>
      </c>
      <c r="AQ17" s="710" t="str">
        <f t="shared" si="6"/>
        <v>キャリアパス要件Ⅰ・Ⅱ_</v>
      </c>
      <c r="AR17" s="661" t="str">
        <f t="shared" si="7"/>
        <v>入力済</v>
      </c>
      <c r="AS17" s="708" t="str">
        <f t="shared" si="8"/>
        <v/>
      </c>
      <c r="AT17" s="661" t="str">
        <f t="shared" si="9"/>
        <v>入力済</v>
      </c>
      <c r="AU17" s="661" t="str">
        <f t="shared" si="10"/>
        <v/>
      </c>
      <c r="AV17" s="661" t="str">
        <f t="shared" si="11"/>
        <v/>
      </c>
      <c r="AW17" s="708" t="str">
        <f t="shared" si="12"/>
        <v/>
      </c>
      <c r="AX17" s="708" t="str">
        <f t="shared" si="13"/>
        <v>入力済</v>
      </c>
      <c r="AY17" s="661" t="str">
        <f>IFERROR(VLOOKUP(K17,'【参考】数式用'!$AR$3:$AS$49,2,FALSE),"")</f>
        <v/>
      </c>
      <c r="AZ17" s="708" t="str">
        <f t="shared" si="14"/>
        <v/>
      </c>
      <c r="BA17" s="656" t="str">
        <f t="shared" si="15"/>
        <v>入力済</v>
      </c>
      <c r="BB17" s="661" t="str">
        <f>IFERROR(VLOOKUP(K17,'【参考】数式用'!$AX$3:$AY$56,2,FALSE),"")</f>
        <v/>
      </c>
      <c r="BC17" s="708" t="str">
        <f t="shared" si="16"/>
        <v/>
      </c>
      <c r="BD17" s="656" t="str">
        <f t="shared" si="17"/>
        <v>入力済</v>
      </c>
      <c r="BE17" s="656" t="str">
        <f t="shared" si="18"/>
        <v/>
      </c>
      <c r="BF17" s="656" t="str">
        <f t="shared" si="19"/>
        <v/>
      </c>
      <c r="BG17" s="656" t="str">
        <f t="shared" si="20"/>
        <v/>
      </c>
      <c r="BH17" s="656" t="str">
        <f t="shared" si="21"/>
        <v/>
      </c>
      <c r="BI17" s="656" t="str">
        <f t="shared" si="22"/>
        <v/>
      </c>
      <c r="BM17" s="680" t="e">
        <f>VLOOKUP(K17,'【参考】数式用'!$A$2:$O$57,15,FALSE)</f>
        <v>#N/A</v>
      </c>
    </row>
    <row r="18" spans="1:65"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IF(AND(基本情報入力シート!AG46="",基本情報入力シート!AG46=""),"",基本情報入力シート!AG46)</f>
        <v/>
      </c>
      <c r="N18" s="569"/>
      <c r="O18" s="574" t="str">
        <f>IFERROR(VLOOKUP(K18,'【参考】数式用'!$A$2:$M$57,MATCH(N18,'【参考】数式用'!$G$3:$M$3,0)+6,0),"")</f>
        <v/>
      </c>
      <c r="P18" s="581" t="s">
        <v>543</v>
      </c>
      <c r="Q18" s="586"/>
      <c r="R18" s="588" t="s">
        <v>75</v>
      </c>
      <c r="S18" s="586"/>
      <c r="T18" s="588" t="s">
        <v>159</v>
      </c>
      <c r="U18" s="586"/>
      <c r="V18" s="588" t="s">
        <v>75</v>
      </c>
      <c r="W18" s="586"/>
      <c r="X18" s="588" t="s">
        <v>722</v>
      </c>
      <c r="Y18" s="588" t="s">
        <v>161</v>
      </c>
      <c r="Z18" s="588" t="str">
        <f t="shared" si="0"/>
        <v/>
      </c>
      <c r="AA18" s="592" t="s">
        <v>6</v>
      </c>
      <c r="AB18" s="597" t="str">
        <f t="shared" si="1"/>
        <v/>
      </c>
      <c r="AC18" s="602" t="str">
        <f>IFERROR(ROUNDDOWN(ROUNDDOWN(ROUND(L18*VLOOKUP(K18,'【参考】数式用'!$A$2:$M$57,MATCH("処遇改善加算Ⅳ",'【参考】数式用'!$G$3:$M$3,0)+6,0),0)*M18,0)*Z18*0.5,0),"")</f>
        <v/>
      </c>
      <c r="AD18" s="608"/>
      <c r="AE18" s="616"/>
      <c r="AF18" s="616"/>
      <c r="AG18" s="622"/>
      <c r="AH18" s="625"/>
      <c r="AI18" s="706"/>
      <c r="AJ18" s="632"/>
      <c r="AK18" s="647" t="str">
        <f t="shared" si="2"/>
        <v/>
      </c>
      <c r="AL18" s="650" t="str">
        <f t="shared" si="3"/>
        <v/>
      </c>
      <c r="AM18" s="653"/>
      <c r="AN18" s="708" t="str">
        <f>IFERROR(VLOOKUP(K18,'【参考】数式用'!$A$2:$N$57,14,FALSE),"")</f>
        <v/>
      </c>
      <c r="AO18" s="708" t="str">
        <f t="shared" si="4"/>
        <v/>
      </c>
      <c r="AP18" s="710" t="str">
        <f t="shared" si="5"/>
        <v/>
      </c>
      <c r="AQ18" s="710" t="str">
        <f t="shared" si="6"/>
        <v>キャリアパス要件Ⅰ・Ⅱ_</v>
      </c>
      <c r="AR18" s="661" t="str">
        <f t="shared" si="7"/>
        <v>入力済</v>
      </c>
      <c r="AS18" s="708" t="str">
        <f t="shared" si="8"/>
        <v/>
      </c>
      <c r="AT18" s="661" t="str">
        <f t="shared" si="9"/>
        <v>入力済</v>
      </c>
      <c r="AU18" s="661" t="str">
        <f t="shared" si="10"/>
        <v/>
      </c>
      <c r="AV18" s="661" t="str">
        <f t="shared" si="11"/>
        <v/>
      </c>
      <c r="AW18" s="708" t="str">
        <f t="shared" si="12"/>
        <v/>
      </c>
      <c r="AX18" s="708" t="str">
        <f t="shared" si="13"/>
        <v>入力済</v>
      </c>
      <c r="AY18" s="661" t="str">
        <f>IFERROR(VLOOKUP(K18,'【参考】数式用'!$AR$3:$AS$49,2,FALSE),"")</f>
        <v/>
      </c>
      <c r="AZ18" s="708" t="str">
        <f t="shared" si="14"/>
        <v/>
      </c>
      <c r="BA18" s="656" t="str">
        <f t="shared" si="15"/>
        <v>入力済</v>
      </c>
      <c r="BB18" s="661" t="str">
        <f>IFERROR(VLOOKUP(K18,'【参考】数式用'!$AX$3:$AY$56,2,FALSE),"")</f>
        <v/>
      </c>
      <c r="BC18" s="708" t="str">
        <f t="shared" si="16"/>
        <v/>
      </c>
      <c r="BD18" s="656" t="str">
        <f t="shared" si="17"/>
        <v>入力済</v>
      </c>
      <c r="BE18" s="656" t="str">
        <f t="shared" si="18"/>
        <v/>
      </c>
      <c r="BF18" s="656" t="str">
        <f t="shared" si="19"/>
        <v/>
      </c>
      <c r="BG18" s="656" t="str">
        <f t="shared" si="20"/>
        <v/>
      </c>
      <c r="BH18" s="656" t="str">
        <f t="shared" si="21"/>
        <v/>
      </c>
      <c r="BI18" s="656" t="str">
        <f t="shared" si="22"/>
        <v/>
      </c>
      <c r="BM18" s="680" t="e">
        <f>VLOOKUP(K18,'【参考】数式用'!$A$2:$O$57,15,FALSE)</f>
        <v>#N/A</v>
      </c>
    </row>
    <row r="19" spans="1:65" s="496" customFormat="1" ht="109.9" customHeight="1">
      <c r="A19" s="506">
        <v>8</v>
      </c>
      <c r="B19" s="516" t="str">
        <f>IF(基本情報入力シート!B47="","",基本情報入力シート!B47)</f>
        <v/>
      </c>
      <c r="C19" s="522"/>
      <c r="D19" s="522"/>
      <c r="E19" s="522"/>
      <c r="F19" s="529"/>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IF(AND(基本情報入力シート!AG47="",基本情報入力シート!AG47=""),"",基本情報入力シート!AG47)</f>
        <v/>
      </c>
      <c r="N19" s="569"/>
      <c r="O19" s="574" t="str">
        <f>IFERROR(VLOOKUP(K19,'【参考】数式用'!$A$2:$M$57,MATCH(N19,'【参考】数式用'!$G$3:$M$3,0)+6,0),"")</f>
        <v/>
      </c>
      <c r="P19" s="581" t="s">
        <v>543</v>
      </c>
      <c r="Q19" s="586"/>
      <c r="R19" s="588" t="s">
        <v>75</v>
      </c>
      <c r="S19" s="586"/>
      <c r="T19" s="588" t="s">
        <v>159</v>
      </c>
      <c r="U19" s="586"/>
      <c r="V19" s="588" t="s">
        <v>75</v>
      </c>
      <c r="W19" s="586"/>
      <c r="X19" s="588" t="s">
        <v>722</v>
      </c>
      <c r="Y19" s="588" t="s">
        <v>161</v>
      </c>
      <c r="Z19" s="588" t="str">
        <f t="shared" si="0"/>
        <v/>
      </c>
      <c r="AA19" s="592" t="s">
        <v>6</v>
      </c>
      <c r="AB19" s="597" t="str">
        <f t="shared" si="1"/>
        <v/>
      </c>
      <c r="AC19" s="602" t="str">
        <f>IFERROR(ROUNDDOWN(ROUNDDOWN(ROUND(L19*VLOOKUP(K19,'【参考】数式用'!$A$2:$M$57,MATCH("処遇改善加算Ⅳ",'【参考】数式用'!$G$3:$M$3,0)+6,0),0)*M19,0)*Z19*0.5,0),"")</f>
        <v/>
      </c>
      <c r="AD19" s="608"/>
      <c r="AE19" s="616"/>
      <c r="AF19" s="616"/>
      <c r="AG19" s="622"/>
      <c r="AH19" s="625"/>
      <c r="AI19" s="706"/>
      <c r="AJ19" s="632"/>
      <c r="AK19" s="647" t="str">
        <f t="shared" si="2"/>
        <v/>
      </c>
      <c r="AL19" s="650" t="str">
        <f t="shared" si="3"/>
        <v/>
      </c>
      <c r="AM19" s="653"/>
      <c r="AN19" s="708" t="str">
        <f>IFERROR(VLOOKUP(K19,'【参考】数式用'!$A$2:$N$57,14,FALSE),"")</f>
        <v/>
      </c>
      <c r="AO19" s="708" t="str">
        <f t="shared" si="4"/>
        <v/>
      </c>
      <c r="AP19" s="710" t="str">
        <f t="shared" si="5"/>
        <v/>
      </c>
      <c r="AQ19" s="710" t="str">
        <f t="shared" si="6"/>
        <v>キャリアパス要件Ⅰ・Ⅱ_</v>
      </c>
      <c r="AR19" s="661" t="str">
        <f t="shared" si="7"/>
        <v>入力済</v>
      </c>
      <c r="AS19" s="708" t="str">
        <f t="shared" si="8"/>
        <v/>
      </c>
      <c r="AT19" s="661" t="str">
        <f t="shared" si="9"/>
        <v>入力済</v>
      </c>
      <c r="AU19" s="661" t="str">
        <f t="shared" si="10"/>
        <v/>
      </c>
      <c r="AV19" s="661" t="str">
        <f t="shared" si="11"/>
        <v/>
      </c>
      <c r="AW19" s="708" t="str">
        <f t="shared" si="12"/>
        <v/>
      </c>
      <c r="AX19" s="708" t="str">
        <f t="shared" si="13"/>
        <v>入力済</v>
      </c>
      <c r="AY19" s="661" t="str">
        <f>IFERROR(VLOOKUP(K19,'【参考】数式用'!$AR$3:$AS$49,2,FALSE),"")</f>
        <v/>
      </c>
      <c r="AZ19" s="708" t="str">
        <f t="shared" si="14"/>
        <v/>
      </c>
      <c r="BA19" s="656" t="str">
        <f t="shared" si="15"/>
        <v>入力済</v>
      </c>
      <c r="BB19" s="661" t="str">
        <f>IFERROR(VLOOKUP(K19,'【参考】数式用'!$AX$3:$AY$56,2,FALSE),"")</f>
        <v/>
      </c>
      <c r="BC19" s="708" t="str">
        <f t="shared" si="16"/>
        <v/>
      </c>
      <c r="BD19" s="656" t="str">
        <f t="shared" si="17"/>
        <v>入力済</v>
      </c>
      <c r="BE19" s="656" t="str">
        <f t="shared" si="18"/>
        <v/>
      </c>
      <c r="BF19" s="656" t="str">
        <f t="shared" si="19"/>
        <v/>
      </c>
      <c r="BG19" s="656" t="str">
        <f t="shared" si="20"/>
        <v/>
      </c>
      <c r="BH19" s="656" t="str">
        <f t="shared" si="21"/>
        <v/>
      </c>
      <c r="BI19" s="656" t="str">
        <f t="shared" si="22"/>
        <v/>
      </c>
      <c r="BM19" s="680" t="e">
        <f>VLOOKUP(K19,'【参考】数式用'!$A$2:$O$57,15,FALSE)</f>
        <v>#N/A</v>
      </c>
    </row>
    <row r="20" spans="1:65"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IF(AND(基本情報入力シート!AG48="",基本情報入力シート!AG48=""),"",基本情報入力シート!AG48)</f>
        <v/>
      </c>
      <c r="N20" s="569"/>
      <c r="O20" s="574" t="str">
        <f>IFERROR(VLOOKUP(K20,'【参考】数式用'!$A$2:$M$57,MATCH(N20,'【参考】数式用'!$G$3:$M$3,0)+6,0),"")</f>
        <v/>
      </c>
      <c r="P20" s="581" t="s">
        <v>543</v>
      </c>
      <c r="Q20" s="586"/>
      <c r="R20" s="588" t="s">
        <v>75</v>
      </c>
      <c r="S20" s="586"/>
      <c r="T20" s="588" t="s">
        <v>159</v>
      </c>
      <c r="U20" s="586"/>
      <c r="V20" s="588" t="s">
        <v>75</v>
      </c>
      <c r="W20" s="586"/>
      <c r="X20" s="588" t="s">
        <v>722</v>
      </c>
      <c r="Y20" s="588" t="s">
        <v>161</v>
      </c>
      <c r="Z20" s="588" t="str">
        <f t="shared" si="0"/>
        <v/>
      </c>
      <c r="AA20" s="592" t="s">
        <v>6</v>
      </c>
      <c r="AB20" s="597" t="str">
        <f t="shared" si="1"/>
        <v/>
      </c>
      <c r="AC20" s="602" t="str">
        <f>IFERROR(ROUNDDOWN(ROUNDDOWN(ROUND(L20*VLOOKUP(K20,'【参考】数式用'!$A$2:$M$57,MATCH("処遇改善加算Ⅳ",'【参考】数式用'!$G$3:$M$3,0)+6,0),0)*M20,0)*Z20*0.5,0),"")</f>
        <v/>
      </c>
      <c r="AD20" s="608"/>
      <c r="AE20" s="616"/>
      <c r="AF20" s="616"/>
      <c r="AG20" s="622"/>
      <c r="AH20" s="625"/>
      <c r="AI20" s="706"/>
      <c r="AJ20" s="632"/>
      <c r="AK20" s="647" t="str">
        <f t="shared" si="2"/>
        <v/>
      </c>
      <c r="AL20" s="650" t="str">
        <f t="shared" si="3"/>
        <v/>
      </c>
      <c r="AM20" s="653"/>
      <c r="AN20" s="708" t="str">
        <f>IFERROR(VLOOKUP(K20,'【参考】数式用'!$A$2:$N$57,14,FALSE),"")</f>
        <v/>
      </c>
      <c r="AO20" s="708" t="str">
        <f t="shared" si="4"/>
        <v/>
      </c>
      <c r="AP20" s="710" t="str">
        <f t="shared" si="5"/>
        <v/>
      </c>
      <c r="AQ20" s="710" t="str">
        <f t="shared" si="6"/>
        <v>キャリアパス要件Ⅰ・Ⅱ_</v>
      </c>
      <c r="AR20" s="661" t="str">
        <f t="shared" si="7"/>
        <v>入力済</v>
      </c>
      <c r="AS20" s="708" t="str">
        <f t="shared" si="8"/>
        <v/>
      </c>
      <c r="AT20" s="661" t="str">
        <f t="shared" si="9"/>
        <v>入力済</v>
      </c>
      <c r="AU20" s="661" t="str">
        <f t="shared" si="10"/>
        <v/>
      </c>
      <c r="AV20" s="661" t="str">
        <f t="shared" si="11"/>
        <v/>
      </c>
      <c r="AW20" s="708" t="str">
        <f t="shared" si="12"/>
        <v/>
      </c>
      <c r="AX20" s="708" t="str">
        <f t="shared" si="13"/>
        <v>入力済</v>
      </c>
      <c r="AY20" s="661" t="str">
        <f>IFERROR(VLOOKUP(K20,'【参考】数式用'!$AR$3:$AS$49,2,FALSE),"")</f>
        <v/>
      </c>
      <c r="AZ20" s="708" t="str">
        <f t="shared" si="14"/>
        <v/>
      </c>
      <c r="BA20" s="656" t="str">
        <f t="shared" si="15"/>
        <v>入力済</v>
      </c>
      <c r="BB20" s="661" t="str">
        <f>IFERROR(VLOOKUP(K20,'【参考】数式用'!$AX$3:$AY$56,2,FALSE),"")</f>
        <v/>
      </c>
      <c r="BC20" s="708" t="str">
        <f t="shared" si="16"/>
        <v/>
      </c>
      <c r="BD20" s="656" t="str">
        <f t="shared" si="17"/>
        <v>入力済</v>
      </c>
      <c r="BE20" s="656" t="str">
        <f t="shared" si="18"/>
        <v/>
      </c>
      <c r="BF20" s="656" t="str">
        <f t="shared" si="19"/>
        <v/>
      </c>
      <c r="BG20" s="656" t="str">
        <f t="shared" si="20"/>
        <v/>
      </c>
      <c r="BH20" s="656" t="str">
        <f t="shared" si="21"/>
        <v/>
      </c>
      <c r="BI20" s="656" t="str">
        <f t="shared" si="22"/>
        <v/>
      </c>
      <c r="BM20" s="680" t="e">
        <f>VLOOKUP(K20,'【参考】数式用'!$A$2:$O$57,15,FALSE)</f>
        <v>#N/A</v>
      </c>
    </row>
    <row r="21" spans="1:65"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IF(AND(基本情報入力シート!AG49="",基本情報入力シート!AG49=""),"",基本情報入力シート!AG49)</f>
        <v/>
      </c>
      <c r="N21" s="569"/>
      <c r="O21" s="574" t="str">
        <f>IFERROR(VLOOKUP(K21,'【参考】数式用'!$A$2:$M$57,MATCH(N21,'【参考】数式用'!$G$3:$M$3,0)+6,0),"")</f>
        <v/>
      </c>
      <c r="P21" s="581" t="s">
        <v>543</v>
      </c>
      <c r="Q21" s="586"/>
      <c r="R21" s="588" t="s">
        <v>75</v>
      </c>
      <c r="S21" s="586"/>
      <c r="T21" s="588" t="s">
        <v>159</v>
      </c>
      <c r="U21" s="586"/>
      <c r="V21" s="588" t="s">
        <v>75</v>
      </c>
      <c r="W21" s="586"/>
      <c r="X21" s="588" t="s">
        <v>10</v>
      </c>
      <c r="Y21" s="588" t="s">
        <v>161</v>
      </c>
      <c r="Z21" s="588" t="str">
        <f t="shared" si="0"/>
        <v/>
      </c>
      <c r="AA21" s="592" t="s">
        <v>6</v>
      </c>
      <c r="AB21" s="597" t="str">
        <f t="shared" si="1"/>
        <v/>
      </c>
      <c r="AC21" s="602" t="str">
        <f>IFERROR(ROUNDDOWN(ROUNDDOWN(ROUND(L21*VLOOKUP(K21,'【参考】数式用'!$A$2:$M$57,MATCH("処遇改善加算Ⅳ",'【参考】数式用'!$G$3:$M$3,0)+6,0),0)*M21,0)*Z21*0.5,0),"")</f>
        <v/>
      </c>
      <c r="AD21" s="608"/>
      <c r="AE21" s="616"/>
      <c r="AF21" s="616"/>
      <c r="AG21" s="622"/>
      <c r="AH21" s="625"/>
      <c r="AI21" s="706"/>
      <c r="AJ21" s="632"/>
      <c r="AK21" s="647" t="str">
        <f t="shared" si="2"/>
        <v/>
      </c>
      <c r="AL21" s="650" t="str">
        <f t="shared" si="3"/>
        <v/>
      </c>
      <c r="AM21" s="653"/>
      <c r="AN21" s="708" t="str">
        <f>IFERROR(VLOOKUP(K21,'【参考】数式用'!$A$2:$N$57,14,FALSE),"")</f>
        <v/>
      </c>
      <c r="AO21" s="708" t="str">
        <f t="shared" si="4"/>
        <v/>
      </c>
      <c r="AP21" s="710" t="str">
        <f t="shared" si="5"/>
        <v/>
      </c>
      <c r="AQ21" s="710" t="str">
        <f t="shared" si="6"/>
        <v>キャリアパス要件Ⅰ・Ⅱ_</v>
      </c>
      <c r="AR21" s="661" t="str">
        <f t="shared" si="7"/>
        <v>入力済</v>
      </c>
      <c r="AS21" s="708" t="str">
        <f t="shared" si="8"/>
        <v/>
      </c>
      <c r="AT21" s="661" t="str">
        <f t="shared" si="9"/>
        <v>入力済</v>
      </c>
      <c r="AU21" s="661" t="str">
        <f t="shared" si="10"/>
        <v/>
      </c>
      <c r="AV21" s="661" t="str">
        <f t="shared" si="11"/>
        <v/>
      </c>
      <c r="AW21" s="708" t="str">
        <f t="shared" si="12"/>
        <v/>
      </c>
      <c r="AX21" s="708" t="str">
        <f t="shared" si="13"/>
        <v>入力済</v>
      </c>
      <c r="AY21" s="661" t="str">
        <f>IFERROR(VLOOKUP(K21,'【参考】数式用'!$AR$3:$AS$49,2,FALSE),"")</f>
        <v/>
      </c>
      <c r="AZ21" s="708" t="str">
        <f t="shared" si="14"/>
        <v/>
      </c>
      <c r="BA21" s="656" t="str">
        <f t="shared" si="15"/>
        <v>入力済</v>
      </c>
      <c r="BB21" s="661" t="str">
        <f>IFERROR(VLOOKUP(K21,'【参考】数式用'!$AX$3:$AY$56,2,FALSE),"")</f>
        <v/>
      </c>
      <c r="BC21" s="708" t="str">
        <f t="shared" si="16"/>
        <v/>
      </c>
      <c r="BD21" s="656" t="str">
        <f t="shared" si="17"/>
        <v>入力済</v>
      </c>
      <c r="BE21" s="656" t="str">
        <f t="shared" si="18"/>
        <v/>
      </c>
      <c r="BF21" s="656" t="str">
        <f t="shared" si="19"/>
        <v/>
      </c>
      <c r="BG21" s="656" t="str">
        <f t="shared" si="20"/>
        <v/>
      </c>
      <c r="BH21" s="656" t="str">
        <f t="shared" si="21"/>
        <v/>
      </c>
      <c r="BI21" s="656" t="str">
        <f t="shared" si="22"/>
        <v/>
      </c>
      <c r="BM21" s="680" t="e">
        <f>VLOOKUP(K21,'【参考】数式用'!$A$2:$O$57,15,FALSE)</f>
        <v>#N/A</v>
      </c>
    </row>
    <row r="22" spans="1:65"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IF(AND(基本情報入力シート!AG50="",基本情報入力シート!AG50=""),"",基本情報入力シート!AG50)</f>
        <v/>
      </c>
      <c r="N22" s="569"/>
      <c r="O22" s="574" t="str">
        <f>IFERROR(VLOOKUP(K22,'【参考】数式用'!$A$2:$M$57,MATCH(N22,'【参考】数式用'!$G$3:$M$3,0)+6,0),"")</f>
        <v/>
      </c>
      <c r="P22" s="581" t="s">
        <v>543</v>
      </c>
      <c r="Q22" s="586"/>
      <c r="R22" s="588" t="s">
        <v>75</v>
      </c>
      <c r="S22" s="586"/>
      <c r="T22" s="588" t="s">
        <v>159</v>
      </c>
      <c r="U22" s="586"/>
      <c r="V22" s="588" t="s">
        <v>75</v>
      </c>
      <c r="W22" s="586"/>
      <c r="X22" s="588" t="s">
        <v>722</v>
      </c>
      <c r="Y22" s="588" t="s">
        <v>161</v>
      </c>
      <c r="Z22" s="588" t="str">
        <f t="shared" si="0"/>
        <v/>
      </c>
      <c r="AA22" s="592" t="s">
        <v>6</v>
      </c>
      <c r="AB22" s="597" t="str">
        <f t="shared" si="1"/>
        <v/>
      </c>
      <c r="AC22" s="602" t="str">
        <f>IFERROR(ROUNDDOWN(ROUNDDOWN(ROUND(L22*VLOOKUP(K22,'【参考】数式用'!$A$2:$M$57,MATCH("処遇改善加算Ⅳ",'【参考】数式用'!$G$3:$M$3,0)+6,0),0)*M22,0)*Z22*0.5,0),"")</f>
        <v/>
      </c>
      <c r="AD22" s="608"/>
      <c r="AE22" s="616"/>
      <c r="AF22" s="616"/>
      <c r="AG22" s="622"/>
      <c r="AH22" s="625"/>
      <c r="AI22" s="706"/>
      <c r="AJ22" s="632"/>
      <c r="AK22" s="647" t="str">
        <f t="shared" si="2"/>
        <v/>
      </c>
      <c r="AL22" s="650" t="str">
        <f t="shared" si="3"/>
        <v/>
      </c>
      <c r="AM22" s="653"/>
      <c r="AN22" s="708" t="str">
        <f>IFERROR(VLOOKUP(K22,'【参考】数式用'!$A$2:$N$57,14,FALSE),"")</f>
        <v/>
      </c>
      <c r="AO22" s="708" t="str">
        <f t="shared" si="4"/>
        <v/>
      </c>
      <c r="AP22" s="710" t="str">
        <f t="shared" si="5"/>
        <v/>
      </c>
      <c r="AQ22" s="710" t="str">
        <f t="shared" si="6"/>
        <v>キャリアパス要件Ⅰ・Ⅱ_</v>
      </c>
      <c r="AR22" s="661" t="str">
        <f t="shared" si="7"/>
        <v>入力済</v>
      </c>
      <c r="AS22" s="708" t="str">
        <f t="shared" si="8"/>
        <v/>
      </c>
      <c r="AT22" s="661" t="str">
        <f t="shared" si="9"/>
        <v>入力済</v>
      </c>
      <c r="AU22" s="661" t="str">
        <f t="shared" si="10"/>
        <v/>
      </c>
      <c r="AV22" s="661" t="str">
        <f t="shared" si="11"/>
        <v/>
      </c>
      <c r="AW22" s="708" t="str">
        <f t="shared" si="12"/>
        <v/>
      </c>
      <c r="AX22" s="708" t="str">
        <f t="shared" si="13"/>
        <v>入力済</v>
      </c>
      <c r="AY22" s="661" t="str">
        <f>IFERROR(VLOOKUP(K22,'【参考】数式用'!$AR$3:$AS$49,2,FALSE),"")</f>
        <v/>
      </c>
      <c r="AZ22" s="708" t="str">
        <f t="shared" si="14"/>
        <v/>
      </c>
      <c r="BA22" s="656" t="str">
        <f t="shared" si="15"/>
        <v>入力済</v>
      </c>
      <c r="BB22" s="661" t="str">
        <f>IFERROR(VLOOKUP(K22,'【参考】数式用'!$AX$3:$AY$56,2,FALSE),"")</f>
        <v/>
      </c>
      <c r="BC22" s="708" t="str">
        <f t="shared" si="16"/>
        <v/>
      </c>
      <c r="BD22" s="656" t="str">
        <f t="shared" si="17"/>
        <v>入力済</v>
      </c>
      <c r="BE22" s="656" t="str">
        <f t="shared" si="18"/>
        <v/>
      </c>
      <c r="BF22" s="656" t="str">
        <f t="shared" si="19"/>
        <v/>
      </c>
      <c r="BG22" s="656" t="str">
        <f t="shared" si="20"/>
        <v/>
      </c>
      <c r="BH22" s="656" t="str">
        <f t="shared" si="21"/>
        <v/>
      </c>
      <c r="BI22" s="656" t="str">
        <f t="shared" si="22"/>
        <v/>
      </c>
      <c r="BM22" s="680" t="e">
        <f>VLOOKUP(K22,'【参考】数式用'!$A$2:$O$57,15,FALSE)</f>
        <v>#N/A</v>
      </c>
    </row>
    <row r="23" spans="1:65"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IF(AND(基本情報入力シート!AG51="",基本情報入力シート!AG51=""),"",基本情報入力シート!AG51)</f>
        <v/>
      </c>
      <c r="N23" s="569"/>
      <c r="O23" s="574" t="str">
        <f>IFERROR(VLOOKUP(K23,'【参考】数式用'!$A$2:$M$57,MATCH(N23,'【参考】数式用'!$G$3:$M$3,0)+6,0),"")</f>
        <v/>
      </c>
      <c r="P23" s="581" t="s">
        <v>543</v>
      </c>
      <c r="Q23" s="586"/>
      <c r="R23" s="588" t="s">
        <v>75</v>
      </c>
      <c r="S23" s="586"/>
      <c r="T23" s="588" t="s">
        <v>159</v>
      </c>
      <c r="U23" s="586"/>
      <c r="V23" s="588" t="s">
        <v>75</v>
      </c>
      <c r="W23" s="586"/>
      <c r="X23" s="588" t="s">
        <v>722</v>
      </c>
      <c r="Y23" s="588" t="s">
        <v>161</v>
      </c>
      <c r="Z23" s="588" t="str">
        <f t="shared" si="0"/>
        <v/>
      </c>
      <c r="AA23" s="592" t="s">
        <v>6</v>
      </c>
      <c r="AB23" s="597" t="str">
        <f t="shared" si="1"/>
        <v/>
      </c>
      <c r="AC23" s="602" t="str">
        <f>IFERROR(ROUNDDOWN(ROUNDDOWN(ROUND(L23*VLOOKUP(K23,'【参考】数式用'!$A$2:$M$57,MATCH("処遇改善加算Ⅳ",'【参考】数式用'!$G$3:$M$3,0)+6,0),0)*M23,0)*Z23*0.5,0),"")</f>
        <v/>
      </c>
      <c r="AD23" s="608"/>
      <c r="AE23" s="616"/>
      <c r="AF23" s="616"/>
      <c r="AG23" s="622"/>
      <c r="AH23" s="625"/>
      <c r="AI23" s="706"/>
      <c r="AJ23" s="632"/>
      <c r="AK23" s="647" t="str">
        <f t="shared" si="2"/>
        <v/>
      </c>
      <c r="AL23" s="650" t="str">
        <f t="shared" si="3"/>
        <v/>
      </c>
      <c r="AM23" s="653"/>
      <c r="AN23" s="708" t="str">
        <f>IFERROR(VLOOKUP(K23,'【参考】数式用'!$A$2:$N$57,14,FALSE),"")</f>
        <v/>
      </c>
      <c r="AO23" s="708" t="str">
        <f t="shared" si="4"/>
        <v/>
      </c>
      <c r="AP23" s="710" t="str">
        <f t="shared" si="5"/>
        <v/>
      </c>
      <c r="AQ23" s="710" t="str">
        <f t="shared" si="6"/>
        <v>キャリアパス要件Ⅰ・Ⅱ_</v>
      </c>
      <c r="AR23" s="661" t="str">
        <f t="shared" si="7"/>
        <v>入力済</v>
      </c>
      <c r="AS23" s="708" t="str">
        <f t="shared" si="8"/>
        <v/>
      </c>
      <c r="AT23" s="661" t="str">
        <f t="shared" si="9"/>
        <v>入力済</v>
      </c>
      <c r="AU23" s="661" t="str">
        <f t="shared" si="10"/>
        <v/>
      </c>
      <c r="AV23" s="661" t="str">
        <f t="shared" si="11"/>
        <v/>
      </c>
      <c r="AW23" s="708" t="str">
        <f t="shared" si="12"/>
        <v/>
      </c>
      <c r="AX23" s="708" t="str">
        <f t="shared" si="13"/>
        <v>入力済</v>
      </c>
      <c r="AY23" s="661" t="str">
        <f>IFERROR(VLOOKUP(K23,'【参考】数式用'!$AR$3:$AS$49,2,FALSE),"")</f>
        <v/>
      </c>
      <c r="AZ23" s="708" t="str">
        <f t="shared" si="14"/>
        <v/>
      </c>
      <c r="BA23" s="656" t="str">
        <f t="shared" si="15"/>
        <v>入力済</v>
      </c>
      <c r="BB23" s="661" t="str">
        <f>IFERROR(VLOOKUP(K23,'【参考】数式用'!$AX$3:$AY$56,2,FALSE),"")</f>
        <v/>
      </c>
      <c r="BC23" s="708" t="str">
        <f t="shared" si="16"/>
        <v/>
      </c>
      <c r="BD23" s="656" t="str">
        <f t="shared" si="17"/>
        <v>入力済</v>
      </c>
      <c r="BE23" s="656" t="str">
        <f t="shared" si="18"/>
        <v/>
      </c>
      <c r="BF23" s="656" t="str">
        <f t="shared" si="19"/>
        <v/>
      </c>
      <c r="BG23" s="656" t="str">
        <f t="shared" si="20"/>
        <v/>
      </c>
      <c r="BH23" s="656" t="str">
        <f t="shared" si="21"/>
        <v/>
      </c>
      <c r="BI23" s="656" t="str">
        <f t="shared" si="22"/>
        <v/>
      </c>
      <c r="BM23" s="680" t="e">
        <f>VLOOKUP(K23,'【参考】数式用'!$A$2:$O$57,15,FALSE)</f>
        <v>#N/A</v>
      </c>
    </row>
    <row r="24" spans="1:65"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IF(AND(基本情報入力シート!AG52="",基本情報入力シート!AG52=""),"",基本情報入力シート!AG52)</f>
        <v/>
      </c>
      <c r="N24" s="569"/>
      <c r="O24" s="574" t="str">
        <f>IFERROR(VLOOKUP(K24,'【参考】数式用'!$A$2:$M$57,MATCH(N24,'【参考】数式用'!$G$3:$M$3,0)+6,0),"")</f>
        <v/>
      </c>
      <c r="P24" s="581" t="s">
        <v>543</v>
      </c>
      <c r="Q24" s="586"/>
      <c r="R24" s="588" t="s">
        <v>75</v>
      </c>
      <c r="S24" s="586"/>
      <c r="T24" s="588" t="s">
        <v>159</v>
      </c>
      <c r="U24" s="586"/>
      <c r="V24" s="588" t="s">
        <v>75</v>
      </c>
      <c r="W24" s="586"/>
      <c r="X24" s="588" t="s">
        <v>722</v>
      </c>
      <c r="Y24" s="588" t="s">
        <v>161</v>
      </c>
      <c r="Z24" s="588" t="str">
        <f t="shared" si="0"/>
        <v/>
      </c>
      <c r="AA24" s="592" t="s">
        <v>6</v>
      </c>
      <c r="AB24" s="597" t="str">
        <f t="shared" si="1"/>
        <v/>
      </c>
      <c r="AC24" s="602" t="str">
        <f>IFERROR(ROUNDDOWN(ROUNDDOWN(ROUND(L24*VLOOKUP(K24,'【参考】数式用'!$A$2:$M$57,MATCH("処遇改善加算Ⅳ",'【参考】数式用'!$G$3:$M$3,0)+6,0),0)*M24,0)*Z24*0.5,0),"")</f>
        <v/>
      </c>
      <c r="AD24" s="608"/>
      <c r="AE24" s="616"/>
      <c r="AF24" s="616"/>
      <c r="AG24" s="622"/>
      <c r="AH24" s="625"/>
      <c r="AI24" s="706"/>
      <c r="AJ24" s="632"/>
      <c r="AK24" s="647" t="str">
        <f t="shared" si="2"/>
        <v/>
      </c>
      <c r="AL24" s="650" t="str">
        <f t="shared" si="3"/>
        <v/>
      </c>
      <c r="AM24" s="653"/>
      <c r="AN24" s="708" t="str">
        <f>IFERROR(VLOOKUP(K24,'【参考】数式用'!$A$2:$N$57,14,FALSE),"")</f>
        <v/>
      </c>
      <c r="AO24" s="708" t="str">
        <f t="shared" si="4"/>
        <v/>
      </c>
      <c r="AP24" s="710" t="str">
        <f t="shared" si="5"/>
        <v/>
      </c>
      <c r="AQ24" s="710" t="str">
        <f t="shared" si="6"/>
        <v>キャリアパス要件Ⅰ・Ⅱ_</v>
      </c>
      <c r="AR24" s="661" t="str">
        <f t="shared" si="7"/>
        <v>入力済</v>
      </c>
      <c r="AS24" s="708" t="str">
        <f t="shared" si="8"/>
        <v/>
      </c>
      <c r="AT24" s="661" t="str">
        <f t="shared" si="9"/>
        <v>入力済</v>
      </c>
      <c r="AU24" s="661" t="str">
        <f t="shared" si="10"/>
        <v/>
      </c>
      <c r="AV24" s="661" t="str">
        <f t="shared" si="11"/>
        <v/>
      </c>
      <c r="AW24" s="708" t="str">
        <f t="shared" si="12"/>
        <v/>
      </c>
      <c r="AX24" s="708" t="str">
        <f t="shared" si="13"/>
        <v>入力済</v>
      </c>
      <c r="AY24" s="661" t="str">
        <f>IFERROR(VLOOKUP(K24,'【参考】数式用'!$AR$3:$AS$49,2,FALSE),"")</f>
        <v/>
      </c>
      <c r="AZ24" s="708" t="str">
        <f t="shared" si="14"/>
        <v/>
      </c>
      <c r="BA24" s="656" t="str">
        <f t="shared" si="15"/>
        <v>入力済</v>
      </c>
      <c r="BB24" s="661" t="str">
        <f>IFERROR(VLOOKUP(K24,'【参考】数式用'!$AX$3:$AY$56,2,FALSE),"")</f>
        <v/>
      </c>
      <c r="BC24" s="708" t="str">
        <f t="shared" si="16"/>
        <v/>
      </c>
      <c r="BD24" s="656" t="str">
        <f t="shared" si="17"/>
        <v>入力済</v>
      </c>
      <c r="BE24" s="656" t="str">
        <f t="shared" si="18"/>
        <v/>
      </c>
      <c r="BF24" s="656" t="str">
        <f t="shared" si="19"/>
        <v/>
      </c>
      <c r="BG24" s="656" t="str">
        <f t="shared" si="20"/>
        <v/>
      </c>
      <c r="BH24" s="656" t="str">
        <f t="shared" si="21"/>
        <v/>
      </c>
      <c r="BI24" s="656" t="str">
        <f t="shared" si="22"/>
        <v/>
      </c>
      <c r="BM24" s="680" t="e">
        <f>VLOOKUP(K24,'【参考】数式用'!$A$2:$O$57,15,FALSE)</f>
        <v>#N/A</v>
      </c>
    </row>
    <row r="25" spans="1:65"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IF(AND(基本情報入力シート!AG53="",基本情報入力シート!AG53=""),"",基本情報入力シート!AG53)</f>
        <v/>
      </c>
      <c r="N25" s="569"/>
      <c r="O25" s="574" t="str">
        <f>IFERROR(VLOOKUP(K25,'【参考】数式用'!$A$2:$M$57,MATCH(N25,'【参考】数式用'!$G$3:$M$3,0)+6,0),"")</f>
        <v/>
      </c>
      <c r="P25" s="581" t="s">
        <v>543</v>
      </c>
      <c r="Q25" s="586"/>
      <c r="R25" s="588" t="s">
        <v>75</v>
      </c>
      <c r="S25" s="586"/>
      <c r="T25" s="588" t="s">
        <v>159</v>
      </c>
      <c r="U25" s="586"/>
      <c r="V25" s="588" t="s">
        <v>75</v>
      </c>
      <c r="W25" s="586"/>
      <c r="X25" s="588" t="s">
        <v>10</v>
      </c>
      <c r="Y25" s="588" t="s">
        <v>161</v>
      </c>
      <c r="Z25" s="588" t="str">
        <f t="shared" si="0"/>
        <v/>
      </c>
      <c r="AA25" s="592" t="s">
        <v>6</v>
      </c>
      <c r="AB25" s="597" t="str">
        <f t="shared" si="1"/>
        <v/>
      </c>
      <c r="AC25" s="602" t="str">
        <f>IFERROR(ROUNDDOWN(ROUNDDOWN(ROUND(L25*VLOOKUP(K25,'【参考】数式用'!$A$2:$M$57,MATCH("処遇改善加算Ⅳ",'【参考】数式用'!$G$3:$M$3,0)+6,0),0)*M25,0)*Z25*0.5,0),"")</f>
        <v/>
      </c>
      <c r="AD25" s="608"/>
      <c r="AE25" s="616"/>
      <c r="AF25" s="616"/>
      <c r="AG25" s="622"/>
      <c r="AH25" s="625"/>
      <c r="AI25" s="706"/>
      <c r="AJ25" s="632"/>
      <c r="AK25" s="647" t="str">
        <f t="shared" si="2"/>
        <v/>
      </c>
      <c r="AL25" s="650" t="str">
        <f t="shared" si="3"/>
        <v/>
      </c>
      <c r="AM25" s="653"/>
      <c r="AN25" s="708" t="str">
        <f>IFERROR(VLOOKUP(K25,'【参考】数式用'!$A$2:$N$57,14,FALSE),"")</f>
        <v/>
      </c>
      <c r="AO25" s="708" t="str">
        <f t="shared" si="4"/>
        <v/>
      </c>
      <c r="AP25" s="710" t="str">
        <f t="shared" si="5"/>
        <v/>
      </c>
      <c r="AQ25" s="710" t="str">
        <f t="shared" si="6"/>
        <v>キャリアパス要件Ⅰ・Ⅱ_</v>
      </c>
      <c r="AR25" s="661" t="str">
        <f t="shared" si="7"/>
        <v>入力済</v>
      </c>
      <c r="AS25" s="708" t="str">
        <f t="shared" si="8"/>
        <v/>
      </c>
      <c r="AT25" s="661" t="str">
        <f t="shared" si="9"/>
        <v>入力済</v>
      </c>
      <c r="AU25" s="661" t="str">
        <f t="shared" si="10"/>
        <v/>
      </c>
      <c r="AV25" s="661" t="str">
        <f t="shared" si="11"/>
        <v/>
      </c>
      <c r="AW25" s="708" t="str">
        <f t="shared" si="12"/>
        <v/>
      </c>
      <c r="AX25" s="708" t="str">
        <f t="shared" si="13"/>
        <v>入力済</v>
      </c>
      <c r="AY25" s="661" t="str">
        <f>IFERROR(VLOOKUP(K25,'【参考】数式用'!$AR$3:$AS$49,2,FALSE),"")</f>
        <v/>
      </c>
      <c r="AZ25" s="708" t="str">
        <f t="shared" si="14"/>
        <v/>
      </c>
      <c r="BA25" s="656" t="str">
        <f t="shared" si="15"/>
        <v>入力済</v>
      </c>
      <c r="BB25" s="661" t="str">
        <f>IFERROR(VLOOKUP(K25,'【参考】数式用'!$AX$3:$AY$56,2,FALSE),"")</f>
        <v/>
      </c>
      <c r="BC25" s="708" t="str">
        <f t="shared" si="16"/>
        <v/>
      </c>
      <c r="BD25" s="656" t="str">
        <f t="shared" si="17"/>
        <v>入力済</v>
      </c>
      <c r="BE25" s="656" t="str">
        <f t="shared" si="18"/>
        <v/>
      </c>
      <c r="BF25" s="656" t="str">
        <f t="shared" si="19"/>
        <v/>
      </c>
      <c r="BG25" s="656" t="str">
        <f t="shared" si="20"/>
        <v/>
      </c>
      <c r="BH25" s="656" t="str">
        <f t="shared" si="21"/>
        <v/>
      </c>
      <c r="BI25" s="656" t="str">
        <f t="shared" si="22"/>
        <v/>
      </c>
      <c r="BM25" s="680" t="e">
        <f>VLOOKUP(K25,'【参考】数式用'!$A$2:$O$57,15,FALSE)</f>
        <v>#N/A</v>
      </c>
    </row>
    <row r="26" spans="1:65"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IF(AND(基本情報入力シート!AG54="",基本情報入力シート!AG54=""),"",基本情報入力シート!AG54)</f>
        <v/>
      </c>
      <c r="N26" s="569"/>
      <c r="O26" s="574" t="str">
        <f>IFERROR(VLOOKUP(K26,'【参考】数式用'!$A$2:$M$57,MATCH(N26,'【参考】数式用'!$G$3:$M$3,0)+6,0),"")</f>
        <v/>
      </c>
      <c r="P26" s="581" t="s">
        <v>543</v>
      </c>
      <c r="Q26" s="586"/>
      <c r="R26" s="588" t="s">
        <v>75</v>
      </c>
      <c r="S26" s="586"/>
      <c r="T26" s="588" t="s">
        <v>159</v>
      </c>
      <c r="U26" s="586"/>
      <c r="V26" s="588" t="s">
        <v>75</v>
      </c>
      <c r="W26" s="586"/>
      <c r="X26" s="588" t="s">
        <v>10</v>
      </c>
      <c r="Y26" s="588" t="s">
        <v>161</v>
      </c>
      <c r="Z26" s="588" t="str">
        <f t="shared" si="0"/>
        <v/>
      </c>
      <c r="AA26" s="592" t="s">
        <v>6</v>
      </c>
      <c r="AB26" s="597" t="str">
        <f t="shared" si="1"/>
        <v/>
      </c>
      <c r="AC26" s="602" t="str">
        <f>IFERROR(ROUNDDOWN(ROUNDDOWN(ROUND(L26*VLOOKUP(K26,'【参考】数式用'!$A$2:$M$57,MATCH("処遇改善加算Ⅳ",'【参考】数式用'!$G$3:$M$3,0)+6,0),0)*M26,0)*Z26*0.5,0),"")</f>
        <v/>
      </c>
      <c r="AD26" s="608"/>
      <c r="AE26" s="616"/>
      <c r="AF26" s="616"/>
      <c r="AG26" s="622"/>
      <c r="AH26" s="625"/>
      <c r="AI26" s="706"/>
      <c r="AJ26" s="632"/>
      <c r="AK26" s="647" t="str">
        <f t="shared" si="2"/>
        <v/>
      </c>
      <c r="AL26" s="650" t="str">
        <f t="shared" si="3"/>
        <v/>
      </c>
      <c r="AM26" s="653"/>
      <c r="AN26" s="708" t="str">
        <f>IFERROR(VLOOKUP(K26,'【参考】数式用'!$A$2:$N$57,14,FALSE),"")</f>
        <v/>
      </c>
      <c r="AO26" s="708" t="str">
        <f t="shared" si="4"/>
        <v/>
      </c>
      <c r="AP26" s="710" t="str">
        <f t="shared" si="5"/>
        <v/>
      </c>
      <c r="AQ26" s="710" t="str">
        <f t="shared" si="6"/>
        <v>キャリアパス要件Ⅰ・Ⅱ_</v>
      </c>
      <c r="AR26" s="661" t="str">
        <f t="shared" si="7"/>
        <v>入力済</v>
      </c>
      <c r="AS26" s="708" t="str">
        <f t="shared" si="8"/>
        <v/>
      </c>
      <c r="AT26" s="661" t="str">
        <f t="shared" si="9"/>
        <v>入力済</v>
      </c>
      <c r="AU26" s="661" t="str">
        <f t="shared" si="10"/>
        <v/>
      </c>
      <c r="AV26" s="661" t="str">
        <f t="shared" si="11"/>
        <v/>
      </c>
      <c r="AW26" s="708" t="str">
        <f t="shared" si="12"/>
        <v/>
      </c>
      <c r="AX26" s="708" t="str">
        <f t="shared" si="13"/>
        <v>入力済</v>
      </c>
      <c r="AY26" s="661" t="str">
        <f>IFERROR(VLOOKUP(K26,'【参考】数式用'!$AR$3:$AS$49,2,FALSE),"")</f>
        <v/>
      </c>
      <c r="AZ26" s="708" t="str">
        <f t="shared" si="14"/>
        <v/>
      </c>
      <c r="BA26" s="656" t="str">
        <f t="shared" si="15"/>
        <v>入力済</v>
      </c>
      <c r="BB26" s="661" t="str">
        <f>IFERROR(VLOOKUP(K26,'【参考】数式用'!$AX$3:$AY$56,2,FALSE),"")</f>
        <v/>
      </c>
      <c r="BC26" s="708" t="str">
        <f t="shared" si="16"/>
        <v/>
      </c>
      <c r="BD26" s="656" t="str">
        <f t="shared" si="17"/>
        <v>入力済</v>
      </c>
      <c r="BE26" s="656" t="str">
        <f t="shared" si="18"/>
        <v/>
      </c>
      <c r="BF26" s="656" t="str">
        <f t="shared" si="19"/>
        <v/>
      </c>
      <c r="BG26" s="656" t="str">
        <f t="shared" si="20"/>
        <v/>
      </c>
      <c r="BH26" s="656" t="str">
        <f t="shared" si="21"/>
        <v/>
      </c>
      <c r="BI26" s="656" t="str">
        <f t="shared" si="22"/>
        <v/>
      </c>
      <c r="BM26" s="680" t="e">
        <f>VLOOKUP(K26,'【参考】数式用'!$A$2:$O$57,15,FALSE)</f>
        <v>#N/A</v>
      </c>
    </row>
    <row r="27" spans="1:65"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IF(AND(基本情報入力シート!AG55="",基本情報入力シート!AG55=""),"",基本情報入力シート!AG55)</f>
        <v/>
      </c>
      <c r="N27" s="569"/>
      <c r="O27" s="574" t="str">
        <f>IFERROR(VLOOKUP(K27,'【参考】数式用'!$A$2:$M$57,MATCH(N27,'【参考】数式用'!$G$3:$M$3,0)+6,0),"")</f>
        <v/>
      </c>
      <c r="P27" s="581" t="s">
        <v>543</v>
      </c>
      <c r="Q27" s="586"/>
      <c r="R27" s="588" t="s">
        <v>75</v>
      </c>
      <c r="S27" s="586"/>
      <c r="T27" s="588" t="s">
        <v>159</v>
      </c>
      <c r="U27" s="586"/>
      <c r="V27" s="588" t="s">
        <v>75</v>
      </c>
      <c r="W27" s="586"/>
      <c r="X27" s="588" t="s">
        <v>722</v>
      </c>
      <c r="Y27" s="588" t="s">
        <v>161</v>
      </c>
      <c r="Z27" s="588" t="str">
        <f t="shared" si="0"/>
        <v/>
      </c>
      <c r="AA27" s="592" t="s">
        <v>6</v>
      </c>
      <c r="AB27" s="597" t="str">
        <f t="shared" si="1"/>
        <v/>
      </c>
      <c r="AC27" s="602" t="str">
        <f>IFERROR(ROUNDDOWN(ROUNDDOWN(ROUND(L27*VLOOKUP(K27,'【参考】数式用'!$A$2:$M$57,MATCH("処遇改善加算Ⅳ",'【参考】数式用'!$G$3:$M$3,0)+6,0),0)*M27,0)*Z27*0.5,0),"")</f>
        <v/>
      </c>
      <c r="AD27" s="608"/>
      <c r="AE27" s="616"/>
      <c r="AF27" s="616"/>
      <c r="AG27" s="622"/>
      <c r="AH27" s="625"/>
      <c r="AI27" s="706"/>
      <c r="AJ27" s="632"/>
      <c r="AK27" s="647" t="str">
        <f t="shared" si="2"/>
        <v/>
      </c>
      <c r="AL27" s="650" t="str">
        <f t="shared" si="3"/>
        <v/>
      </c>
      <c r="AM27" s="653"/>
      <c r="AN27" s="708" t="str">
        <f>IFERROR(VLOOKUP(K27,'【参考】数式用'!$A$2:$N$57,14,FALSE),"")</f>
        <v/>
      </c>
      <c r="AO27" s="708" t="str">
        <f t="shared" si="4"/>
        <v/>
      </c>
      <c r="AP27" s="710" t="str">
        <f t="shared" si="5"/>
        <v/>
      </c>
      <c r="AQ27" s="710" t="str">
        <f t="shared" si="6"/>
        <v>キャリアパス要件Ⅰ・Ⅱ_</v>
      </c>
      <c r="AR27" s="661" t="str">
        <f t="shared" si="7"/>
        <v>入力済</v>
      </c>
      <c r="AS27" s="708" t="str">
        <f t="shared" si="8"/>
        <v/>
      </c>
      <c r="AT27" s="661" t="str">
        <f t="shared" si="9"/>
        <v>入力済</v>
      </c>
      <c r="AU27" s="661" t="str">
        <f t="shared" si="10"/>
        <v/>
      </c>
      <c r="AV27" s="661" t="str">
        <f t="shared" si="11"/>
        <v/>
      </c>
      <c r="AW27" s="708" t="str">
        <f t="shared" si="12"/>
        <v/>
      </c>
      <c r="AX27" s="708" t="str">
        <f t="shared" si="13"/>
        <v>入力済</v>
      </c>
      <c r="AY27" s="661" t="str">
        <f>IFERROR(VLOOKUP(K27,'【参考】数式用'!$AR$3:$AS$49,2,FALSE),"")</f>
        <v/>
      </c>
      <c r="AZ27" s="708" t="str">
        <f t="shared" si="14"/>
        <v/>
      </c>
      <c r="BA27" s="656" t="str">
        <f t="shared" si="15"/>
        <v>入力済</v>
      </c>
      <c r="BB27" s="661" t="str">
        <f>IFERROR(VLOOKUP(K27,'【参考】数式用'!$AX$3:$AY$56,2,FALSE),"")</f>
        <v/>
      </c>
      <c r="BC27" s="708" t="str">
        <f t="shared" si="16"/>
        <v/>
      </c>
      <c r="BD27" s="656" t="str">
        <f t="shared" si="17"/>
        <v>入力済</v>
      </c>
      <c r="BE27" s="656" t="str">
        <f t="shared" si="18"/>
        <v/>
      </c>
      <c r="BF27" s="656" t="str">
        <f t="shared" si="19"/>
        <v/>
      </c>
      <c r="BG27" s="656" t="str">
        <f t="shared" si="20"/>
        <v/>
      </c>
      <c r="BH27" s="656" t="str">
        <f t="shared" si="21"/>
        <v/>
      </c>
      <c r="BI27" s="656" t="str">
        <f t="shared" si="22"/>
        <v/>
      </c>
      <c r="BM27" s="680" t="e">
        <f>VLOOKUP(K27,'【参考】数式用'!$A$2:$O$57,15,FALSE)</f>
        <v>#N/A</v>
      </c>
    </row>
    <row r="28" spans="1:65"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IF(AND(基本情報入力シート!AG56="",基本情報入力シート!AG56=""),"",基本情報入力シート!AG56)</f>
        <v/>
      </c>
      <c r="N28" s="569"/>
      <c r="O28" s="574" t="str">
        <f>IFERROR(VLOOKUP(K28,'【参考】数式用'!$A$2:$M$57,MATCH(N28,'【参考】数式用'!$G$3:$M$3,0)+6,0),"")</f>
        <v/>
      </c>
      <c r="P28" s="581" t="s">
        <v>543</v>
      </c>
      <c r="Q28" s="586"/>
      <c r="R28" s="588" t="s">
        <v>75</v>
      </c>
      <c r="S28" s="586"/>
      <c r="T28" s="588" t="s">
        <v>159</v>
      </c>
      <c r="U28" s="586"/>
      <c r="V28" s="588" t="s">
        <v>75</v>
      </c>
      <c r="W28" s="586"/>
      <c r="X28" s="588" t="s">
        <v>722</v>
      </c>
      <c r="Y28" s="588" t="s">
        <v>161</v>
      </c>
      <c r="Z28" s="588" t="str">
        <f t="shared" si="0"/>
        <v/>
      </c>
      <c r="AA28" s="592" t="s">
        <v>6</v>
      </c>
      <c r="AB28" s="597" t="str">
        <f t="shared" si="1"/>
        <v/>
      </c>
      <c r="AC28" s="602" t="str">
        <f>IFERROR(ROUNDDOWN(ROUNDDOWN(ROUND(L28*VLOOKUP(K28,'【参考】数式用'!$A$2:$M$57,MATCH("処遇改善加算Ⅳ",'【参考】数式用'!$G$3:$M$3,0)+6,0),0)*M28,0)*Z28*0.5,0),"")</f>
        <v/>
      </c>
      <c r="AD28" s="608"/>
      <c r="AE28" s="616"/>
      <c r="AF28" s="616"/>
      <c r="AG28" s="622"/>
      <c r="AH28" s="625"/>
      <c r="AI28" s="706"/>
      <c r="AJ28" s="632"/>
      <c r="AK28" s="647" t="str">
        <f t="shared" si="2"/>
        <v/>
      </c>
      <c r="AL28" s="650" t="str">
        <f t="shared" si="3"/>
        <v/>
      </c>
      <c r="AM28" s="653"/>
      <c r="AN28" s="708" t="str">
        <f>IFERROR(VLOOKUP(K28,'【参考】数式用'!$A$2:$N$57,14,FALSE),"")</f>
        <v/>
      </c>
      <c r="AO28" s="708" t="str">
        <f t="shared" si="4"/>
        <v/>
      </c>
      <c r="AP28" s="710" t="str">
        <f t="shared" si="5"/>
        <v/>
      </c>
      <c r="AQ28" s="710" t="str">
        <f t="shared" si="6"/>
        <v>キャリアパス要件Ⅰ・Ⅱ_</v>
      </c>
      <c r="AR28" s="661" t="str">
        <f t="shared" si="7"/>
        <v>入力済</v>
      </c>
      <c r="AS28" s="708" t="str">
        <f t="shared" si="8"/>
        <v/>
      </c>
      <c r="AT28" s="661" t="str">
        <f t="shared" si="9"/>
        <v>入力済</v>
      </c>
      <c r="AU28" s="661" t="str">
        <f t="shared" si="10"/>
        <v/>
      </c>
      <c r="AV28" s="661" t="str">
        <f t="shared" si="11"/>
        <v/>
      </c>
      <c r="AW28" s="708" t="str">
        <f t="shared" si="12"/>
        <v/>
      </c>
      <c r="AX28" s="708" t="str">
        <f t="shared" si="13"/>
        <v>入力済</v>
      </c>
      <c r="AY28" s="661" t="str">
        <f>IFERROR(VLOOKUP(K28,'【参考】数式用'!$AR$3:$AS$49,2,FALSE),"")</f>
        <v/>
      </c>
      <c r="AZ28" s="708" t="str">
        <f t="shared" si="14"/>
        <v/>
      </c>
      <c r="BA28" s="656" t="str">
        <f t="shared" si="15"/>
        <v>入力済</v>
      </c>
      <c r="BB28" s="661" t="str">
        <f>IFERROR(VLOOKUP(K28,'【参考】数式用'!$AX$3:$AY$56,2,FALSE),"")</f>
        <v/>
      </c>
      <c r="BC28" s="708" t="str">
        <f t="shared" si="16"/>
        <v/>
      </c>
      <c r="BD28" s="656" t="str">
        <f t="shared" si="17"/>
        <v>入力済</v>
      </c>
      <c r="BE28" s="656" t="str">
        <f t="shared" si="18"/>
        <v/>
      </c>
      <c r="BF28" s="656" t="str">
        <f t="shared" si="19"/>
        <v/>
      </c>
      <c r="BG28" s="656" t="str">
        <f t="shared" si="20"/>
        <v/>
      </c>
      <c r="BH28" s="656" t="str">
        <f t="shared" si="21"/>
        <v/>
      </c>
      <c r="BI28" s="656" t="str">
        <f t="shared" si="22"/>
        <v/>
      </c>
      <c r="BM28" s="680" t="e">
        <f>VLOOKUP(K28,'【参考】数式用'!$A$2:$O$57,15,FALSE)</f>
        <v>#N/A</v>
      </c>
    </row>
    <row r="29" spans="1:65"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IF(AND(基本情報入力シート!AG57="",基本情報入力シート!AG57=""),"",基本情報入力シート!AG57)</f>
        <v/>
      </c>
      <c r="N29" s="569"/>
      <c r="O29" s="574" t="str">
        <f>IFERROR(VLOOKUP(K29,'【参考】数式用'!$A$2:$M$57,MATCH(N29,'【参考】数式用'!$G$3:$M$3,0)+6,0),"")</f>
        <v/>
      </c>
      <c r="P29" s="581" t="s">
        <v>543</v>
      </c>
      <c r="Q29" s="586"/>
      <c r="R29" s="588" t="s">
        <v>75</v>
      </c>
      <c r="S29" s="586"/>
      <c r="T29" s="588" t="s">
        <v>159</v>
      </c>
      <c r="U29" s="586"/>
      <c r="V29" s="588" t="s">
        <v>75</v>
      </c>
      <c r="W29" s="586"/>
      <c r="X29" s="588" t="s">
        <v>722</v>
      </c>
      <c r="Y29" s="588" t="s">
        <v>161</v>
      </c>
      <c r="Z29" s="588" t="str">
        <f t="shared" si="0"/>
        <v/>
      </c>
      <c r="AA29" s="592" t="s">
        <v>6</v>
      </c>
      <c r="AB29" s="597" t="str">
        <f t="shared" si="1"/>
        <v/>
      </c>
      <c r="AC29" s="602" t="str">
        <f>IFERROR(ROUNDDOWN(ROUNDDOWN(ROUND(L29*VLOOKUP(K29,'【参考】数式用'!$A$2:$M$57,MATCH("処遇改善加算Ⅳ",'【参考】数式用'!$G$3:$M$3,0)+6,0),0)*M29,0)*Z29*0.5,0),"")</f>
        <v/>
      </c>
      <c r="AD29" s="608"/>
      <c r="AE29" s="616"/>
      <c r="AF29" s="616"/>
      <c r="AG29" s="622"/>
      <c r="AH29" s="625"/>
      <c r="AI29" s="706"/>
      <c r="AJ29" s="632"/>
      <c r="AK29" s="647" t="str">
        <f t="shared" si="2"/>
        <v/>
      </c>
      <c r="AL29" s="650" t="str">
        <f t="shared" si="3"/>
        <v/>
      </c>
      <c r="AM29" s="653"/>
      <c r="AN29" s="708" t="str">
        <f>IFERROR(VLOOKUP(K29,'【参考】数式用'!$A$2:$N$57,14,FALSE),"")</f>
        <v/>
      </c>
      <c r="AO29" s="708" t="str">
        <f t="shared" si="4"/>
        <v/>
      </c>
      <c r="AP29" s="710" t="str">
        <f t="shared" si="5"/>
        <v/>
      </c>
      <c r="AQ29" s="710" t="str">
        <f t="shared" si="6"/>
        <v>キャリアパス要件Ⅰ・Ⅱ_</v>
      </c>
      <c r="AR29" s="661" t="str">
        <f t="shared" si="7"/>
        <v>入力済</v>
      </c>
      <c r="AS29" s="708" t="str">
        <f t="shared" si="8"/>
        <v/>
      </c>
      <c r="AT29" s="661" t="str">
        <f t="shared" si="9"/>
        <v>入力済</v>
      </c>
      <c r="AU29" s="661" t="str">
        <f t="shared" si="10"/>
        <v/>
      </c>
      <c r="AV29" s="661" t="str">
        <f t="shared" si="11"/>
        <v/>
      </c>
      <c r="AW29" s="708" t="str">
        <f t="shared" si="12"/>
        <v/>
      </c>
      <c r="AX29" s="708" t="str">
        <f t="shared" si="13"/>
        <v>入力済</v>
      </c>
      <c r="AY29" s="661" t="str">
        <f>IFERROR(VLOOKUP(K29,'【参考】数式用'!$AR$3:$AS$49,2,FALSE),"")</f>
        <v/>
      </c>
      <c r="AZ29" s="708" t="str">
        <f t="shared" si="14"/>
        <v/>
      </c>
      <c r="BA29" s="656" t="str">
        <f t="shared" si="15"/>
        <v>入力済</v>
      </c>
      <c r="BB29" s="661" t="str">
        <f>IFERROR(VLOOKUP(K29,'【参考】数式用'!$AX$3:$AY$56,2,FALSE),"")</f>
        <v/>
      </c>
      <c r="BC29" s="708" t="str">
        <f t="shared" si="16"/>
        <v/>
      </c>
      <c r="BD29" s="656" t="str">
        <f t="shared" si="17"/>
        <v>入力済</v>
      </c>
      <c r="BE29" s="656" t="str">
        <f t="shared" si="18"/>
        <v/>
      </c>
      <c r="BF29" s="656" t="str">
        <f t="shared" si="19"/>
        <v/>
      </c>
      <c r="BG29" s="656" t="str">
        <f t="shared" si="20"/>
        <v/>
      </c>
      <c r="BH29" s="656" t="str">
        <f t="shared" si="21"/>
        <v/>
      </c>
      <c r="BI29" s="656" t="str">
        <f t="shared" si="22"/>
        <v/>
      </c>
      <c r="BM29" s="680" t="e">
        <f>VLOOKUP(K29,'【参考】数式用'!$A$2:$O$57,15,FALSE)</f>
        <v>#N/A</v>
      </c>
    </row>
    <row r="30" spans="1:65"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IF(AND(基本情報入力シート!AG58="",基本情報入力シート!AG58=""),"",基本情報入力シート!AG58)</f>
        <v/>
      </c>
      <c r="N30" s="569"/>
      <c r="O30" s="574" t="str">
        <f>IFERROR(VLOOKUP(K30,'【参考】数式用'!$A$2:$M$57,MATCH(N30,'【参考】数式用'!$G$3:$M$3,0)+6,0),"")</f>
        <v/>
      </c>
      <c r="P30" s="581" t="s">
        <v>543</v>
      </c>
      <c r="Q30" s="586"/>
      <c r="R30" s="588" t="s">
        <v>75</v>
      </c>
      <c r="S30" s="586"/>
      <c r="T30" s="588" t="s">
        <v>159</v>
      </c>
      <c r="U30" s="586"/>
      <c r="V30" s="588" t="s">
        <v>75</v>
      </c>
      <c r="W30" s="586"/>
      <c r="X30" s="588" t="s">
        <v>10</v>
      </c>
      <c r="Y30" s="588" t="s">
        <v>161</v>
      </c>
      <c r="Z30" s="588" t="str">
        <f t="shared" si="0"/>
        <v/>
      </c>
      <c r="AA30" s="592" t="s">
        <v>6</v>
      </c>
      <c r="AB30" s="597" t="str">
        <f t="shared" si="1"/>
        <v/>
      </c>
      <c r="AC30" s="602" t="str">
        <f>IFERROR(ROUNDDOWN(ROUNDDOWN(ROUND(L30*VLOOKUP(K30,'【参考】数式用'!$A$2:$M$57,MATCH("処遇改善加算Ⅳ",'【参考】数式用'!$G$3:$M$3,0)+6,0),0)*M30,0)*Z30*0.5,0),"")</f>
        <v/>
      </c>
      <c r="AD30" s="608"/>
      <c r="AE30" s="616"/>
      <c r="AF30" s="616"/>
      <c r="AG30" s="622"/>
      <c r="AH30" s="625"/>
      <c r="AI30" s="706"/>
      <c r="AJ30" s="632"/>
      <c r="AK30" s="647" t="str">
        <f t="shared" si="2"/>
        <v/>
      </c>
      <c r="AL30" s="650" t="str">
        <f t="shared" si="3"/>
        <v/>
      </c>
      <c r="AM30" s="653"/>
      <c r="AN30" s="708" t="str">
        <f>IFERROR(VLOOKUP(K30,'【参考】数式用'!$A$2:$N$57,14,FALSE),"")</f>
        <v/>
      </c>
      <c r="AO30" s="708" t="str">
        <f t="shared" si="4"/>
        <v/>
      </c>
      <c r="AP30" s="710" t="str">
        <f t="shared" si="5"/>
        <v/>
      </c>
      <c r="AQ30" s="710" t="str">
        <f t="shared" si="6"/>
        <v>キャリアパス要件Ⅰ・Ⅱ_</v>
      </c>
      <c r="AR30" s="661" t="str">
        <f t="shared" si="7"/>
        <v>入力済</v>
      </c>
      <c r="AS30" s="708" t="str">
        <f t="shared" si="8"/>
        <v/>
      </c>
      <c r="AT30" s="661" t="str">
        <f t="shared" si="9"/>
        <v>入力済</v>
      </c>
      <c r="AU30" s="661" t="str">
        <f t="shared" si="10"/>
        <v/>
      </c>
      <c r="AV30" s="661" t="str">
        <f t="shared" si="11"/>
        <v/>
      </c>
      <c r="AW30" s="708" t="str">
        <f t="shared" si="12"/>
        <v/>
      </c>
      <c r="AX30" s="708" t="str">
        <f t="shared" si="13"/>
        <v>入力済</v>
      </c>
      <c r="AY30" s="661" t="str">
        <f>IFERROR(VLOOKUP(K30,'【参考】数式用'!$AR$3:$AS$49,2,FALSE),"")</f>
        <v/>
      </c>
      <c r="AZ30" s="708" t="str">
        <f t="shared" si="14"/>
        <v/>
      </c>
      <c r="BA30" s="656" t="str">
        <f t="shared" si="15"/>
        <v>入力済</v>
      </c>
      <c r="BB30" s="661" t="str">
        <f>IFERROR(VLOOKUP(K30,'【参考】数式用'!$AX$3:$AY$56,2,FALSE),"")</f>
        <v/>
      </c>
      <c r="BC30" s="708" t="str">
        <f t="shared" si="16"/>
        <v/>
      </c>
      <c r="BD30" s="656" t="str">
        <f t="shared" si="17"/>
        <v>入力済</v>
      </c>
      <c r="BE30" s="656" t="str">
        <f t="shared" si="18"/>
        <v/>
      </c>
      <c r="BF30" s="656" t="str">
        <f t="shared" si="19"/>
        <v/>
      </c>
      <c r="BG30" s="656" t="str">
        <f t="shared" si="20"/>
        <v/>
      </c>
      <c r="BH30" s="656" t="str">
        <f t="shared" si="21"/>
        <v/>
      </c>
      <c r="BI30" s="656" t="str">
        <f t="shared" si="22"/>
        <v/>
      </c>
      <c r="BM30" s="680" t="e">
        <f>VLOOKUP(K30,'【参考】数式用'!$A$2:$O$57,15,FALSE)</f>
        <v>#N/A</v>
      </c>
    </row>
    <row r="31" spans="1:65"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IF(AND(基本情報入力シート!AG59="",基本情報入力シート!AG59=""),"",基本情報入力シート!AG59)</f>
        <v/>
      </c>
      <c r="N31" s="569"/>
      <c r="O31" s="574" t="str">
        <f>IFERROR(VLOOKUP(K31,'【参考】数式用'!$A$2:$M$57,MATCH(N31,'【参考】数式用'!$G$3:$M$3,0)+6,0),"")</f>
        <v/>
      </c>
      <c r="P31" s="581" t="s">
        <v>543</v>
      </c>
      <c r="Q31" s="586"/>
      <c r="R31" s="588" t="s">
        <v>75</v>
      </c>
      <c r="S31" s="586"/>
      <c r="T31" s="588" t="s">
        <v>159</v>
      </c>
      <c r="U31" s="586"/>
      <c r="V31" s="588" t="s">
        <v>75</v>
      </c>
      <c r="W31" s="586"/>
      <c r="X31" s="588" t="s">
        <v>722</v>
      </c>
      <c r="Y31" s="588" t="s">
        <v>161</v>
      </c>
      <c r="Z31" s="588" t="str">
        <f t="shared" si="0"/>
        <v/>
      </c>
      <c r="AA31" s="592" t="s">
        <v>6</v>
      </c>
      <c r="AB31" s="597" t="str">
        <f t="shared" si="1"/>
        <v/>
      </c>
      <c r="AC31" s="602" t="str">
        <f>IFERROR(ROUNDDOWN(ROUNDDOWN(ROUND(L31*VLOOKUP(K31,'【参考】数式用'!$A$2:$M$57,MATCH("処遇改善加算Ⅳ",'【参考】数式用'!$G$3:$M$3,0)+6,0),0)*M31,0)*Z31*0.5,0),"")</f>
        <v/>
      </c>
      <c r="AD31" s="608"/>
      <c r="AE31" s="616"/>
      <c r="AF31" s="616"/>
      <c r="AG31" s="622"/>
      <c r="AH31" s="625"/>
      <c r="AI31" s="706"/>
      <c r="AJ31" s="632"/>
      <c r="AK31" s="647" t="str">
        <f t="shared" si="2"/>
        <v/>
      </c>
      <c r="AL31" s="650" t="str">
        <f t="shared" si="3"/>
        <v/>
      </c>
      <c r="AM31" s="653"/>
      <c r="AN31" s="708" t="str">
        <f>IFERROR(VLOOKUP(K31,'【参考】数式用'!$A$2:$N$57,14,FALSE),"")</f>
        <v/>
      </c>
      <c r="AO31" s="708" t="str">
        <f t="shared" si="4"/>
        <v/>
      </c>
      <c r="AP31" s="710" t="str">
        <f t="shared" si="5"/>
        <v/>
      </c>
      <c r="AQ31" s="710" t="str">
        <f t="shared" si="6"/>
        <v>キャリアパス要件Ⅰ・Ⅱ_</v>
      </c>
      <c r="AR31" s="661" t="str">
        <f t="shared" si="7"/>
        <v>入力済</v>
      </c>
      <c r="AS31" s="708" t="str">
        <f t="shared" si="8"/>
        <v/>
      </c>
      <c r="AT31" s="661" t="str">
        <f t="shared" si="9"/>
        <v>入力済</v>
      </c>
      <c r="AU31" s="661" t="str">
        <f t="shared" si="10"/>
        <v/>
      </c>
      <c r="AV31" s="661" t="str">
        <f t="shared" si="11"/>
        <v/>
      </c>
      <c r="AW31" s="708" t="str">
        <f t="shared" si="12"/>
        <v/>
      </c>
      <c r="AX31" s="708" t="str">
        <f t="shared" si="13"/>
        <v>入力済</v>
      </c>
      <c r="AY31" s="661" t="str">
        <f>IFERROR(VLOOKUP(K31,'【参考】数式用'!$AR$3:$AS$49,2,FALSE),"")</f>
        <v/>
      </c>
      <c r="AZ31" s="708" t="str">
        <f t="shared" si="14"/>
        <v/>
      </c>
      <c r="BA31" s="656" t="str">
        <f t="shared" si="15"/>
        <v>入力済</v>
      </c>
      <c r="BB31" s="661" t="str">
        <f>IFERROR(VLOOKUP(K31,'【参考】数式用'!$AX$3:$AY$56,2,FALSE),"")</f>
        <v/>
      </c>
      <c r="BC31" s="708" t="str">
        <f t="shared" si="16"/>
        <v/>
      </c>
      <c r="BD31" s="656" t="str">
        <f t="shared" si="17"/>
        <v>入力済</v>
      </c>
      <c r="BE31" s="656" t="str">
        <f t="shared" si="18"/>
        <v/>
      </c>
      <c r="BF31" s="656" t="str">
        <f t="shared" si="19"/>
        <v/>
      </c>
      <c r="BG31" s="656" t="str">
        <f t="shared" si="20"/>
        <v/>
      </c>
      <c r="BH31" s="656" t="str">
        <f t="shared" si="21"/>
        <v/>
      </c>
      <c r="BI31" s="656" t="str">
        <f t="shared" si="22"/>
        <v/>
      </c>
      <c r="BM31" s="680" t="e">
        <f>VLOOKUP(K31,'【参考】数式用'!$A$2:$O$57,15,FALSE)</f>
        <v>#N/A</v>
      </c>
    </row>
    <row r="32" spans="1:65"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IF(AND(基本情報入力シート!AG60="",基本情報入力シート!AG60=""),"",基本情報入力シート!AG60)</f>
        <v/>
      </c>
      <c r="N32" s="569"/>
      <c r="O32" s="574" t="str">
        <f>IFERROR(VLOOKUP(K32,'【参考】数式用'!$A$2:$M$57,MATCH(N32,'【参考】数式用'!$G$3:$M$3,0)+6,0),"")</f>
        <v/>
      </c>
      <c r="P32" s="581" t="s">
        <v>543</v>
      </c>
      <c r="Q32" s="586"/>
      <c r="R32" s="588" t="s">
        <v>75</v>
      </c>
      <c r="S32" s="586"/>
      <c r="T32" s="588" t="s">
        <v>159</v>
      </c>
      <c r="U32" s="586"/>
      <c r="V32" s="588" t="s">
        <v>75</v>
      </c>
      <c r="W32" s="586"/>
      <c r="X32" s="588" t="s">
        <v>722</v>
      </c>
      <c r="Y32" s="588" t="s">
        <v>161</v>
      </c>
      <c r="Z32" s="588" t="str">
        <f t="shared" si="0"/>
        <v/>
      </c>
      <c r="AA32" s="592" t="s">
        <v>6</v>
      </c>
      <c r="AB32" s="597" t="str">
        <f t="shared" si="1"/>
        <v/>
      </c>
      <c r="AC32" s="602" t="str">
        <f>IFERROR(ROUNDDOWN(ROUNDDOWN(ROUND(L32*VLOOKUP(K32,'【参考】数式用'!$A$2:$M$57,MATCH("処遇改善加算Ⅳ",'【参考】数式用'!$G$3:$M$3,0)+6,0),0)*M32,0)*Z32*0.5,0),"")</f>
        <v/>
      </c>
      <c r="AD32" s="608"/>
      <c r="AE32" s="616"/>
      <c r="AF32" s="616"/>
      <c r="AG32" s="622"/>
      <c r="AH32" s="625"/>
      <c r="AI32" s="706"/>
      <c r="AJ32" s="632"/>
      <c r="AK32" s="647" t="str">
        <f t="shared" si="2"/>
        <v/>
      </c>
      <c r="AL32" s="650" t="str">
        <f t="shared" si="3"/>
        <v/>
      </c>
      <c r="AM32" s="653"/>
      <c r="AN32" s="708" t="str">
        <f>IFERROR(VLOOKUP(K32,'【参考】数式用'!$A$2:$N$57,14,FALSE),"")</f>
        <v/>
      </c>
      <c r="AO32" s="708" t="str">
        <f t="shared" si="4"/>
        <v/>
      </c>
      <c r="AP32" s="710" t="str">
        <f t="shared" si="5"/>
        <v/>
      </c>
      <c r="AQ32" s="710" t="str">
        <f t="shared" si="6"/>
        <v>キャリアパス要件Ⅰ・Ⅱ_</v>
      </c>
      <c r="AR32" s="661" t="str">
        <f t="shared" si="7"/>
        <v>入力済</v>
      </c>
      <c r="AS32" s="708" t="str">
        <f t="shared" si="8"/>
        <v/>
      </c>
      <c r="AT32" s="661" t="str">
        <f t="shared" si="9"/>
        <v>入力済</v>
      </c>
      <c r="AU32" s="661" t="str">
        <f t="shared" si="10"/>
        <v/>
      </c>
      <c r="AV32" s="661" t="str">
        <f t="shared" si="11"/>
        <v/>
      </c>
      <c r="AW32" s="708" t="str">
        <f t="shared" si="12"/>
        <v/>
      </c>
      <c r="AX32" s="708" t="str">
        <f t="shared" si="13"/>
        <v>入力済</v>
      </c>
      <c r="AY32" s="661" t="str">
        <f>IFERROR(VLOOKUP(K32,'【参考】数式用'!$AR$3:$AS$49,2,FALSE),"")</f>
        <v/>
      </c>
      <c r="AZ32" s="708" t="str">
        <f t="shared" si="14"/>
        <v/>
      </c>
      <c r="BA32" s="656" t="str">
        <f t="shared" si="15"/>
        <v>入力済</v>
      </c>
      <c r="BB32" s="661" t="str">
        <f>IFERROR(VLOOKUP(K32,'【参考】数式用'!$AX$3:$AY$56,2,FALSE),"")</f>
        <v/>
      </c>
      <c r="BC32" s="708" t="str">
        <f t="shared" si="16"/>
        <v/>
      </c>
      <c r="BD32" s="656" t="str">
        <f t="shared" si="17"/>
        <v>入力済</v>
      </c>
      <c r="BE32" s="656" t="str">
        <f t="shared" si="18"/>
        <v/>
      </c>
      <c r="BF32" s="656" t="str">
        <f t="shared" si="19"/>
        <v/>
      </c>
      <c r="BG32" s="656" t="str">
        <f t="shared" si="20"/>
        <v/>
      </c>
      <c r="BH32" s="656" t="str">
        <f t="shared" si="21"/>
        <v/>
      </c>
      <c r="BI32" s="656" t="str">
        <f t="shared" si="22"/>
        <v/>
      </c>
      <c r="BM32" s="680" t="e">
        <f>VLOOKUP(K32,'【参考】数式用'!$A$2:$O$57,15,FALSE)</f>
        <v>#N/A</v>
      </c>
    </row>
    <row r="33" spans="1:65"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IF(AND(基本情報入力シート!AG61="",基本情報入力シート!AG61=""),"",基本情報入力シート!AG61)</f>
        <v/>
      </c>
      <c r="N33" s="569"/>
      <c r="O33" s="574" t="str">
        <f>IFERROR(VLOOKUP(K33,'【参考】数式用'!$A$2:$M$57,MATCH(N33,'【参考】数式用'!$G$3:$M$3,0)+6,0),"")</f>
        <v/>
      </c>
      <c r="P33" s="581" t="s">
        <v>543</v>
      </c>
      <c r="Q33" s="586"/>
      <c r="R33" s="588" t="s">
        <v>75</v>
      </c>
      <c r="S33" s="586"/>
      <c r="T33" s="588" t="s">
        <v>159</v>
      </c>
      <c r="U33" s="586"/>
      <c r="V33" s="588" t="s">
        <v>75</v>
      </c>
      <c r="W33" s="586"/>
      <c r="X33" s="588" t="s">
        <v>722</v>
      </c>
      <c r="Y33" s="588" t="s">
        <v>161</v>
      </c>
      <c r="Z33" s="588" t="str">
        <f t="shared" si="0"/>
        <v/>
      </c>
      <c r="AA33" s="592" t="s">
        <v>6</v>
      </c>
      <c r="AB33" s="597" t="str">
        <f t="shared" si="1"/>
        <v/>
      </c>
      <c r="AC33" s="602" t="str">
        <f>IFERROR(ROUNDDOWN(ROUNDDOWN(ROUND(L33*VLOOKUP(K33,'【参考】数式用'!$A$2:$M$57,MATCH("処遇改善加算Ⅳ",'【参考】数式用'!$G$3:$M$3,0)+6,0),0)*M33,0)*Z33*0.5,0),"")</f>
        <v/>
      </c>
      <c r="AD33" s="608"/>
      <c r="AE33" s="616"/>
      <c r="AF33" s="616"/>
      <c r="AG33" s="622"/>
      <c r="AH33" s="625"/>
      <c r="AI33" s="706"/>
      <c r="AJ33" s="632"/>
      <c r="AK33" s="647" t="str">
        <f t="shared" si="2"/>
        <v/>
      </c>
      <c r="AL33" s="650" t="str">
        <f t="shared" si="3"/>
        <v/>
      </c>
      <c r="AM33" s="653"/>
      <c r="AN33" s="708" t="str">
        <f>IFERROR(VLOOKUP(K33,'【参考】数式用'!$A$2:$N$57,14,FALSE),"")</f>
        <v/>
      </c>
      <c r="AO33" s="708" t="str">
        <f t="shared" si="4"/>
        <v/>
      </c>
      <c r="AP33" s="710" t="str">
        <f t="shared" si="5"/>
        <v/>
      </c>
      <c r="AQ33" s="710" t="str">
        <f t="shared" si="6"/>
        <v>キャリアパス要件Ⅰ・Ⅱ_</v>
      </c>
      <c r="AR33" s="661" t="str">
        <f t="shared" si="7"/>
        <v>入力済</v>
      </c>
      <c r="AS33" s="708" t="str">
        <f t="shared" si="8"/>
        <v/>
      </c>
      <c r="AT33" s="661" t="str">
        <f t="shared" si="9"/>
        <v>入力済</v>
      </c>
      <c r="AU33" s="661" t="str">
        <f t="shared" si="10"/>
        <v/>
      </c>
      <c r="AV33" s="661" t="str">
        <f t="shared" si="11"/>
        <v/>
      </c>
      <c r="AW33" s="708" t="str">
        <f t="shared" si="12"/>
        <v/>
      </c>
      <c r="AX33" s="708" t="str">
        <f t="shared" si="13"/>
        <v>入力済</v>
      </c>
      <c r="AY33" s="661" t="str">
        <f>IFERROR(VLOOKUP(K33,'【参考】数式用'!$AR$3:$AS$49,2,FALSE),"")</f>
        <v/>
      </c>
      <c r="AZ33" s="708" t="str">
        <f t="shared" si="14"/>
        <v/>
      </c>
      <c r="BA33" s="656" t="str">
        <f t="shared" si="15"/>
        <v>入力済</v>
      </c>
      <c r="BB33" s="661" t="str">
        <f>IFERROR(VLOOKUP(K33,'【参考】数式用'!$AX$3:$AY$56,2,FALSE),"")</f>
        <v/>
      </c>
      <c r="BC33" s="708" t="str">
        <f t="shared" si="16"/>
        <v/>
      </c>
      <c r="BD33" s="656" t="str">
        <f t="shared" si="17"/>
        <v>入力済</v>
      </c>
      <c r="BE33" s="656" t="str">
        <f t="shared" si="18"/>
        <v/>
      </c>
      <c r="BF33" s="656" t="str">
        <f t="shared" si="19"/>
        <v/>
      </c>
      <c r="BG33" s="656" t="str">
        <f t="shared" si="20"/>
        <v/>
      </c>
      <c r="BH33" s="656" t="str">
        <f t="shared" si="21"/>
        <v/>
      </c>
      <c r="BI33" s="656" t="str">
        <f t="shared" si="22"/>
        <v/>
      </c>
      <c r="BM33" s="680" t="e">
        <f>VLOOKUP(K33,'【参考】数式用'!$A$2:$O$57,15,FALSE)</f>
        <v>#N/A</v>
      </c>
    </row>
    <row r="34" spans="1:65"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IF(AND(基本情報入力シート!AG62="",基本情報入力シート!AG62=""),"",基本情報入力シート!AG62)</f>
        <v/>
      </c>
      <c r="N34" s="569"/>
      <c r="O34" s="574" t="str">
        <f>IFERROR(VLOOKUP(K34,'【参考】数式用'!$A$2:$M$57,MATCH(N34,'【参考】数式用'!$G$3:$M$3,0)+6,0),"")</f>
        <v/>
      </c>
      <c r="P34" s="581" t="s">
        <v>543</v>
      </c>
      <c r="Q34" s="586"/>
      <c r="R34" s="588" t="s">
        <v>75</v>
      </c>
      <c r="S34" s="586"/>
      <c r="T34" s="588" t="s">
        <v>159</v>
      </c>
      <c r="U34" s="586"/>
      <c r="V34" s="588" t="s">
        <v>75</v>
      </c>
      <c r="W34" s="586"/>
      <c r="X34" s="588" t="s">
        <v>10</v>
      </c>
      <c r="Y34" s="588" t="s">
        <v>161</v>
      </c>
      <c r="Z34" s="588" t="str">
        <f t="shared" si="0"/>
        <v/>
      </c>
      <c r="AA34" s="592" t="s">
        <v>6</v>
      </c>
      <c r="AB34" s="597" t="str">
        <f t="shared" si="1"/>
        <v/>
      </c>
      <c r="AC34" s="602" t="str">
        <f>IFERROR(ROUNDDOWN(ROUNDDOWN(ROUND(L34*VLOOKUP(K34,'【参考】数式用'!$A$2:$M$57,MATCH("処遇改善加算Ⅳ",'【参考】数式用'!$G$3:$M$3,0)+6,0),0)*M34,0)*Z34*0.5,0),"")</f>
        <v/>
      </c>
      <c r="AD34" s="608"/>
      <c r="AE34" s="616"/>
      <c r="AF34" s="616"/>
      <c r="AG34" s="622"/>
      <c r="AH34" s="625"/>
      <c r="AI34" s="706"/>
      <c r="AJ34" s="632"/>
      <c r="AK34" s="647" t="str">
        <f t="shared" si="2"/>
        <v/>
      </c>
      <c r="AL34" s="650" t="str">
        <f t="shared" si="3"/>
        <v/>
      </c>
      <c r="AM34" s="653"/>
      <c r="AN34" s="708" t="str">
        <f>IFERROR(VLOOKUP(K34,'【参考】数式用'!$A$2:$N$57,14,FALSE),"")</f>
        <v/>
      </c>
      <c r="AO34" s="708" t="str">
        <f t="shared" si="4"/>
        <v/>
      </c>
      <c r="AP34" s="710" t="str">
        <f t="shared" si="5"/>
        <v/>
      </c>
      <c r="AQ34" s="710" t="str">
        <f t="shared" si="6"/>
        <v>キャリアパス要件Ⅰ・Ⅱ_</v>
      </c>
      <c r="AR34" s="661" t="str">
        <f t="shared" si="7"/>
        <v>入力済</v>
      </c>
      <c r="AS34" s="708" t="str">
        <f t="shared" si="8"/>
        <v/>
      </c>
      <c r="AT34" s="661" t="str">
        <f t="shared" si="9"/>
        <v>入力済</v>
      </c>
      <c r="AU34" s="661" t="str">
        <f t="shared" si="10"/>
        <v/>
      </c>
      <c r="AV34" s="661" t="str">
        <f t="shared" si="11"/>
        <v/>
      </c>
      <c r="AW34" s="708" t="str">
        <f t="shared" si="12"/>
        <v/>
      </c>
      <c r="AX34" s="708" t="str">
        <f t="shared" si="13"/>
        <v>入力済</v>
      </c>
      <c r="AY34" s="661" t="str">
        <f>IFERROR(VLOOKUP(K34,'【参考】数式用'!$AR$3:$AS$49,2,FALSE),"")</f>
        <v/>
      </c>
      <c r="AZ34" s="708" t="str">
        <f t="shared" si="14"/>
        <v/>
      </c>
      <c r="BA34" s="656" t="str">
        <f t="shared" si="15"/>
        <v>入力済</v>
      </c>
      <c r="BB34" s="661" t="str">
        <f>IFERROR(VLOOKUP(K34,'【参考】数式用'!$AX$3:$AY$56,2,FALSE),"")</f>
        <v/>
      </c>
      <c r="BC34" s="708" t="str">
        <f t="shared" si="16"/>
        <v/>
      </c>
      <c r="BD34" s="656" t="str">
        <f t="shared" si="17"/>
        <v>入力済</v>
      </c>
      <c r="BE34" s="656" t="str">
        <f t="shared" si="18"/>
        <v/>
      </c>
      <c r="BF34" s="656" t="str">
        <f t="shared" si="19"/>
        <v/>
      </c>
      <c r="BG34" s="656" t="str">
        <f t="shared" si="20"/>
        <v/>
      </c>
      <c r="BH34" s="656" t="str">
        <f t="shared" si="21"/>
        <v/>
      </c>
      <c r="BI34" s="656" t="str">
        <f t="shared" si="22"/>
        <v/>
      </c>
      <c r="BM34" s="680" t="e">
        <f>VLOOKUP(K34,'【参考】数式用'!$A$2:$O$57,15,FALSE)</f>
        <v>#N/A</v>
      </c>
    </row>
    <row r="35" spans="1:65"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IF(AND(基本情報入力シート!AG63="",基本情報入力シート!AG63=""),"",基本情報入力シート!AG63)</f>
        <v/>
      </c>
      <c r="N35" s="569"/>
      <c r="O35" s="574" t="str">
        <f>IFERROR(VLOOKUP(K35,'【参考】数式用'!$A$2:$M$57,MATCH(N35,'【参考】数式用'!$G$3:$M$3,0)+6,0),"")</f>
        <v/>
      </c>
      <c r="P35" s="581" t="s">
        <v>543</v>
      </c>
      <c r="Q35" s="586"/>
      <c r="R35" s="588" t="s">
        <v>75</v>
      </c>
      <c r="S35" s="586"/>
      <c r="T35" s="588" t="s">
        <v>159</v>
      </c>
      <c r="U35" s="586"/>
      <c r="V35" s="588" t="s">
        <v>75</v>
      </c>
      <c r="W35" s="586"/>
      <c r="X35" s="588" t="s">
        <v>10</v>
      </c>
      <c r="Y35" s="588" t="s">
        <v>161</v>
      </c>
      <c r="Z35" s="588" t="str">
        <f t="shared" si="0"/>
        <v/>
      </c>
      <c r="AA35" s="592" t="s">
        <v>6</v>
      </c>
      <c r="AB35" s="597" t="str">
        <f t="shared" si="1"/>
        <v/>
      </c>
      <c r="AC35" s="602" t="str">
        <f>IFERROR(ROUNDDOWN(ROUNDDOWN(ROUND(L35*VLOOKUP(K35,'【参考】数式用'!$A$2:$M$57,MATCH("処遇改善加算Ⅳ",'【参考】数式用'!$G$3:$M$3,0)+6,0),0)*M35,0)*Z35*0.5,0),"")</f>
        <v/>
      </c>
      <c r="AD35" s="608"/>
      <c r="AE35" s="616"/>
      <c r="AF35" s="616"/>
      <c r="AG35" s="622"/>
      <c r="AH35" s="625"/>
      <c r="AI35" s="706"/>
      <c r="AJ35" s="632"/>
      <c r="AK35" s="647" t="str">
        <f t="shared" si="2"/>
        <v/>
      </c>
      <c r="AL35" s="650" t="str">
        <f t="shared" si="3"/>
        <v/>
      </c>
      <c r="AM35" s="653"/>
      <c r="AN35" s="708" t="str">
        <f>IFERROR(VLOOKUP(K35,'【参考】数式用'!$A$2:$N$57,14,FALSE),"")</f>
        <v/>
      </c>
      <c r="AO35" s="708" t="str">
        <f t="shared" si="4"/>
        <v/>
      </c>
      <c r="AP35" s="710" t="str">
        <f t="shared" si="5"/>
        <v/>
      </c>
      <c r="AQ35" s="710" t="str">
        <f t="shared" si="6"/>
        <v>キャリアパス要件Ⅰ・Ⅱ_</v>
      </c>
      <c r="AR35" s="661" t="str">
        <f t="shared" si="7"/>
        <v>入力済</v>
      </c>
      <c r="AS35" s="708" t="str">
        <f t="shared" si="8"/>
        <v/>
      </c>
      <c r="AT35" s="661" t="str">
        <f t="shared" si="9"/>
        <v>入力済</v>
      </c>
      <c r="AU35" s="661" t="str">
        <f t="shared" si="10"/>
        <v/>
      </c>
      <c r="AV35" s="661" t="str">
        <f t="shared" si="11"/>
        <v/>
      </c>
      <c r="AW35" s="708" t="str">
        <f t="shared" si="12"/>
        <v/>
      </c>
      <c r="AX35" s="708" t="str">
        <f t="shared" si="13"/>
        <v>入力済</v>
      </c>
      <c r="AY35" s="661" t="str">
        <f>IFERROR(VLOOKUP(K35,'【参考】数式用'!$AR$3:$AS$49,2,FALSE),"")</f>
        <v/>
      </c>
      <c r="AZ35" s="708" t="str">
        <f t="shared" si="14"/>
        <v/>
      </c>
      <c r="BA35" s="656" t="str">
        <f t="shared" si="15"/>
        <v>入力済</v>
      </c>
      <c r="BB35" s="661" t="str">
        <f>IFERROR(VLOOKUP(K35,'【参考】数式用'!$AX$3:$AY$56,2,FALSE),"")</f>
        <v/>
      </c>
      <c r="BC35" s="708" t="str">
        <f t="shared" si="16"/>
        <v/>
      </c>
      <c r="BD35" s="656" t="str">
        <f t="shared" si="17"/>
        <v>入力済</v>
      </c>
      <c r="BE35" s="656" t="str">
        <f t="shared" si="18"/>
        <v/>
      </c>
      <c r="BF35" s="656" t="str">
        <f t="shared" si="19"/>
        <v/>
      </c>
      <c r="BG35" s="656" t="str">
        <f t="shared" si="20"/>
        <v/>
      </c>
      <c r="BH35" s="656" t="str">
        <f t="shared" si="21"/>
        <v/>
      </c>
      <c r="BI35" s="656" t="str">
        <f t="shared" si="22"/>
        <v/>
      </c>
      <c r="BM35" s="680" t="e">
        <f>VLOOKUP(K35,'【参考】数式用'!$A$2:$O$57,15,FALSE)</f>
        <v>#N/A</v>
      </c>
    </row>
    <row r="36" spans="1:65"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IF(AND(基本情報入力シート!AG64="",基本情報入力シート!AG64=""),"",基本情報入力シート!AG64)</f>
        <v/>
      </c>
      <c r="N36" s="569"/>
      <c r="O36" s="574" t="str">
        <f>IFERROR(VLOOKUP(K36,'【参考】数式用'!$A$2:$M$57,MATCH(N36,'【参考】数式用'!$G$3:$M$3,0)+6,0),"")</f>
        <v/>
      </c>
      <c r="P36" s="581" t="s">
        <v>543</v>
      </c>
      <c r="Q36" s="586"/>
      <c r="R36" s="588" t="s">
        <v>75</v>
      </c>
      <c r="S36" s="586"/>
      <c r="T36" s="588" t="s">
        <v>159</v>
      </c>
      <c r="U36" s="586"/>
      <c r="V36" s="588" t="s">
        <v>75</v>
      </c>
      <c r="W36" s="586"/>
      <c r="X36" s="588" t="s">
        <v>722</v>
      </c>
      <c r="Y36" s="588" t="s">
        <v>161</v>
      </c>
      <c r="Z36" s="588" t="str">
        <f t="shared" si="0"/>
        <v/>
      </c>
      <c r="AA36" s="592" t="s">
        <v>6</v>
      </c>
      <c r="AB36" s="597" t="str">
        <f t="shared" si="1"/>
        <v/>
      </c>
      <c r="AC36" s="602" t="str">
        <f>IFERROR(ROUNDDOWN(ROUNDDOWN(ROUND(L36*VLOOKUP(K36,'【参考】数式用'!$A$2:$M$57,MATCH("処遇改善加算Ⅳ",'【参考】数式用'!$G$3:$M$3,0)+6,0),0)*M36,0)*Z36*0.5,0),"")</f>
        <v/>
      </c>
      <c r="AD36" s="608"/>
      <c r="AE36" s="616"/>
      <c r="AF36" s="616"/>
      <c r="AG36" s="622"/>
      <c r="AH36" s="625"/>
      <c r="AI36" s="706"/>
      <c r="AJ36" s="632"/>
      <c r="AK36" s="647" t="str">
        <f t="shared" si="2"/>
        <v/>
      </c>
      <c r="AL36" s="650" t="str">
        <f t="shared" si="3"/>
        <v/>
      </c>
      <c r="AM36" s="653"/>
      <c r="AN36" s="708" t="str">
        <f>IFERROR(VLOOKUP(K36,'【参考】数式用'!$A$2:$N$57,14,FALSE),"")</f>
        <v/>
      </c>
      <c r="AO36" s="708" t="str">
        <f t="shared" si="4"/>
        <v/>
      </c>
      <c r="AP36" s="710" t="str">
        <f t="shared" si="5"/>
        <v/>
      </c>
      <c r="AQ36" s="710" t="str">
        <f t="shared" si="6"/>
        <v>キャリアパス要件Ⅰ・Ⅱ_</v>
      </c>
      <c r="AR36" s="661" t="str">
        <f t="shared" si="7"/>
        <v>入力済</v>
      </c>
      <c r="AS36" s="708" t="str">
        <f t="shared" si="8"/>
        <v/>
      </c>
      <c r="AT36" s="661" t="str">
        <f t="shared" si="9"/>
        <v>入力済</v>
      </c>
      <c r="AU36" s="661" t="str">
        <f t="shared" si="10"/>
        <v/>
      </c>
      <c r="AV36" s="661" t="str">
        <f t="shared" si="11"/>
        <v/>
      </c>
      <c r="AW36" s="708" t="str">
        <f t="shared" si="12"/>
        <v/>
      </c>
      <c r="AX36" s="708" t="str">
        <f t="shared" si="13"/>
        <v>入力済</v>
      </c>
      <c r="AY36" s="661" t="str">
        <f>IFERROR(VLOOKUP(K36,'【参考】数式用'!$AR$3:$AS$49,2,FALSE),"")</f>
        <v/>
      </c>
      <c r="AZ36" s="708" t="str">
        <f t="shared" si="14"/>
        <v/>
      </c>
      <c r="BA36" s="656" t="str">
        <f t="shared" si="15"/>
        <v>入力済</v>
      </c>
      <c r="BB36" s="661" t="str">
        <f>IFERROR(VLOOKUP(K36,'【参考】数式用'!$AX$3:$AY$56,2,FALSE),"")</f>
        <v/>
      </c>
      <c r="BC36" s="708" t="str">
        <f t="shared" si="16"/>
        <v/>
      </c>
      <c r="BD36" s="656" t="str">
        <f t="shared" si="17"/>
        <v>入力済</v>
      </c>
      <c r="BE36" s="656" t="str">
        <f t="shared" si="18"/>
        <v/>
      </c>
      <c r="BF36" s="656" t="str">
        <f t="shared" si="19"/>
        <v/>
      </c>
      <c r="BG36" s="656" t="str">
        <f t="shared" si="20"/>
        <v/>
      </c>
      <c r="BH36" s="656" t="str">
        <f t="shared" si="21"/>
        <v/>
      </c>
      <c r="BI36" s="656" t="str">
        <f t="shared" si="22"/>
        <v/>
      </c>
      <c r="BM36" s="680" t="e">
        <f>VLOOKUP(K36,'【参考】数式用'!$A$2:$O$57,15,FALSE)</f>
        <v>#N/A</v>
      </c>
    </row>
    <row r="37" spans="1:65"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IF(AND(基本情報入力シート!AG65="",基本情報入力シート!AG65=""),"",基本情報入力シート!AG65)</f>
        <v/>
      </c>
      <c r="N37" s="569"/>
      <c r="O37" s="574" t="str">
        <f>IFERROR(VLOOKUP(K37,'【参考】数式用'!$A$2:$M$57,MATCH(N37,'【参考】数式用'!$G$3:$M$3,0)+6,0),"")</f>
        <v/>
      </c>
      <c r="P37" s="581" t="s">
        <v>543</v>
      </c>
      <c r="Q37" s="586"/>
      <c r="R37" s="588" t="s">
        <v>75</v>
      </c>
      <c r="S37" s="586"/>
      <c r="T37" s="588" t="s">
        <v>159</v>
      </c>
      <c r="U37" s="586"/>
      <c r="V37" s="588" t="s">
        <v>75</v>
      </c>
      <c r="W37" s="586"/>
      <c r="X37" s="588" t="s">
        <v>722</v>
      </c>
      <c r="Y37" s="588" t="s">
        <v>161</v>
      </c>
      <c r="Z37" s="588" t="str">
        <f t="shared" si="0"/>
        <v/>
      </c>
      <c r="AA37" s="592" t="s">
        <v>6</v>
      </c>
      <c r="AB37" s="597" t="str">
        <f t="shared" si="1"/>
        <v/>
      </c>
      <c r="AC37" s="602" t="str">
        <f>IFERROR(ROUNDDOWN(ROUNDDOWN(ROUND(L37*VLOOKUP(K37,'【参考】数式用'!$A$2:$M$57,MATCH("処遇改善加算Ⅳ",'【参考】数式用'!$G$3:$M$3,0)+6,0),0)*M37,0)*Z37*0.5,0),"")</f>
        <v/>
      </c>
      <c r="AD37" s="608"/>
      <c r="AE37" s="616"/>
      <c r="AF37" s="616"/>
      <c r="AG37" s="622"/>
      <c r="AH37" s="625"/>
      <c r="AI37" s="706"/>
      <c r="AJ37" s="632"/>
      <c r="AK37" s="647" t="str">
        <f t="shared" si="2"/>
        <v/>
      </c>
      <c r="AL37" s="650" t="str">
        <f t="shared" si="3"/>
        <v/>
      </c>
      <c r="AM37" s="653"/>
      <c r="AN37" s="708" t="str">
        <f>IFERROR(VLOOKUP(K37,'【参考】数式用'!$A$2:$N$57,14,FALSE),"")</f>
        <v/>
      </c>
      <c r="AO37" s="708" t="str">
        <f t="shared" si="4"/>
        <v/>
      </c>
      <c r="AP37" s="710" t="str">
        <f t="shared" si="5"/>
        <v/>
      </c>
      <c r="AQ37" s="710" t="str">
        <f t="shared" si="6"/>
        <v>キャリアパス要件Ⅰ・Ⅱ_</v>
      </c>
      <c r="AR37" s="661" t="str">
        <f t="shared" si="7"/>
        <v>入力済</v>
      </c>
      <c r="AS37" s="708" t="str">
        <f t="shared" si="8"/>
        <v/>
      </c>
      <c r="AT37" s="661" t="str">
        <f t="shared" si="9"/>
        <v>入力済</v>
      </c>
      <c r="AU37" s="661" t="str">
        <f t="shared" si="10"/>
        <v/>
      </c>
      <c r="AV37" s="661" t="str">
        <f t="shared" si="11"/>
        <v/>
      </c>
      <c r="AW37" s="708" t="str">
        <f t="shared" si="12"/>
        <v/>
      </c>
      <c r="AX37" s="708" t="str">
        <f t="shared" si="13"/>
        <v>入力済</v>
      </c>
      <c r="AY37" s="661" t="str">
        <f>IFERROR(VLOOKUP(K37,'【参考】数式用'!$AR$3:$AS$49,2,FALSE),"")</f>
        <v/>
      </c>
      <c r="AZ37" s="708" t="str">
        <f t="shared" si="14"/>
        <v/>
      </c>
      <c r="BA37" s="656" t="str">
        <f t="shared" si="15"/>
        <v>入力済</v>
      </c>
      <c r="BB37" s="661" t="str">
        <f>IFERROR(VLOOKUP(K37,'【参考】数式用'!$AX$3:$AY$56,2,FALSE),"")</f>
        <v/>
      </c>
      <c r="BC37" s="708" t="str">
        <f t="shared" si="16"/>
        <v/>
      </c>
      <c r="BD37" s="656" t="str">
        <f t="shared" si="17"/>
        <v>入力済</v>
      </c>
      <c r="BE37" s="656" t="str">
        <f t="shared" si="18"/>
        <v/>
      </c>
      <c r="BF37" s="656" t="str">
        <f t="shared" si="19"/>
        <v/>
      </c>
      <c r="BG37" s="656" t="str">
        <f t="shared" si="20"/>
        <v/>
      </c>
      <c r="BH37" s="656" t="str">
        <f t="shared" si="21"/>
        <v/>
      </c>
      <c r="BI37" s="656" t="str">
        <f t="shared" si="22"/>
        <v/>
      </c>
      <c r="BM37" s="680" t="e">
        <f>VLOOKUP(K37,'【参考】数式用'!$A$2:$O$57,15,FALSE)</f>
        <v>#N/A</v>
      </c>
    </row>
    <row r="38" spans="1:65"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IF(AND(基本情報入力シート!AG66="",基本情報入力シート!AG66=""),"",基本情報入力シート!AG66)</f>
        <v/>
      </c>
      <c r="N38" s="569"/>
      <c r="O38" s="574" t="str">
        <f>IFERROR(VLOOKUP(K38,'【参考】数式用'!$A$2:$M$57,MATCH(N38,'【参考】数式用'!$G$3:$M$3,0)+6,0),"")</f>
        <v/>
      </c>
      <c r="P38" s="581" t="s">
        <v>543</v>
      </c>
      <c r="Q38" s="586"/>
      <c r="R38" s="588" t="s">
        <v>75</v>
      </c>
      <c r="S38" s="586"/>
      <c r="T38" s="588" t="s">
        <v>159</v>
      </c>
      <c r="U38" s="586"/>
      <c r="V38" s="588" t="s">
        <v>75</v>
      </c>
      <c r="W38" s="586"/>
      <c r="X38" s="588" t="s">
        <v>722</v>
      </c>
      <c r="Y38" s="588" t="s">
        <v>161</v>
      </c>
      <c r="Z38" s="588" t="str">
        <f t="shared" si="0"/>
        <v/>
      </c>
      <c r="AA38" s="592" t="s">
        <v>6</v>
      </c>
      <c r="AB38" s="597" t="str">
        <f t="shared" si="1"/>
        <v/>
      </c>
      <c r="AC38" s="602" t="str">
        <f>IFERROR(ROUNDDOWN(ROUNDDOWN(ROUND(L38*VLOOKUP(K38,'【参考】数式用'!$A$2:$M$57,MATCH("処遇改善加算Ⅳ",'【参考】数式用'!$G$3:$M$3,0)+6,0),0)*M38,0)*Z38*0.5,0),"")</f>
        <v/>
      </c>
      <c r="AD38" s="608"/>
      <c r="AE38" s="616"/>
      <c r="AF38" s="616"/>
      <c r="AG38" s="622"/>
      <c r="AH38" s="625"/>
      <c r="AI38" s="706"/>
      <c r="AJ38" s="632"/>
      <c r="AK38" s="647" t="str">
        <f t="shared" si="2"/>
        <v/>
      </c>
      <c r="AL38" s="650" t="str">
        <f t="shared" si="3"/>
        <v/>
      </c>
      <c r="AM38" s="653"/>
      <c r="AN38" s="708" t="str">
        <f>IFERROR(VLOOKUP(K38,'【参考】数式用'!$A$2:$N$57,14,FALSE),"")</f>
        <v/>
      </c>
      <c r="AO38" s="708" t="str">
        <f t="shared" si="4"/>
        <v/>
      </c>
      <c r="AP38" s="710" t="str">
        <f t="shared" si="5"/>
        <v/>
      </c>
      <c r="AQ38" s="710" t="str">
        <f t="shared" si="6"/>
        <v>キャリアパス要件Ⅰ・Ⅱ_</v>
      </c>
      <c r="AR38" s="661" t="str">
        <f t="shared" si="7"/>
        <v>入力済</v>
      </c>
      <c r="AS38" s="708" t="str">
        <f t="shared" si="8"/>
        <v/>
      </c>
      <c r="AT38" s="661" t="str">
        <f t="shared" si="9"/>
        <v>入力済</v>
      </c>
      <c r="AU38" s="661" t="str">
        <f t="shared" si="10"/>
        <v/>
      </c>
      <c r="AV38" s="661" t="str">
        <f t="shared" si="11"/>
        <v/>
      </c>
      <c r="AW38" s="708" t="str">
        <f t="shared" si="12"/>
        <v/>
      </c>
      <c r="AX38" s="708" t="str">
        <f t="shared" si="13"/>
        <v>入力済</v>
      </c>
      <c r="AY38" s="661" t="str">
        <f>IFERROR(VLOOKUP(K38,'【参考】数式用'!$AR$3:$AS$49,2,FALSE),"")</f>
        <v/>
      </c>
      <c r="AZ38" s="708" t="str">
        <f t="shared" si="14"/>
        <v/>
      </c>
      <c r="BA38" s="656" t="str">
        <f t="shared" si="15"/>
        <v>入力済</v>
      </c>
      <c r="BB38" s="661" t="str">
        <f>IFERROR(VLOOKUP(K38,'【参考】数式用'!$AX$3:$AY$56,2,FALSE),"")</f>
        <v/>
      </c>
      <c r="BC38" s="708" t="str">
        <f t="shared" si="16"/>
        <v/>
      </c>
      <c r="BD38" s="656" t="str">
        <f t="shared" si="17"/>
        <v>入力済</v>
      </c>
      <c r="BE38" s="656" t="str">
        <f t="shared" si="18"/>
        <v/>
      </c>
      <c r="BF38" s="656" t="str">
        <f t="shared" si="19"/>
        <v/>
      </c>
      <c r="BG38" s="656" t="str">
        <f t="shared" si="20"/>
        <v/>
      </c>
      <c r="BH38" s="656" t="str">
        <f t="shared" si="21"/>
        <v/>
      </c>
      <c r="BI38" s="656" t="str">
        <f t="shared" si="22"/>
        <v/>
      </c>
      <c r="BM38" s="680" t="e">
        <f>VLOOKUP(K38,'【参考】数式用'!$A$2:$O$57,15,FALSE)</f>
        <v>#N/A</v>
      </c>
    </row>
    <row r="39" spans="1:65"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IF(AND(基本情報入力シート!AG67="",基本情報入力シート!AG67=""),"",基本情報入力シート!AG67)</f>
        <v/>
      </c>
      <c r="N39" s="569"/>
      <c r="O39" s="574" t="str">
        <f>IFERROR(VLOOKUP(K39,'【参考】数式用'!$A$2:$M$57,MATCH(N39,'【参考】数式用'!$G$3:$M$3,0)+6,0),"")</f>
        <v/>
      </c>
      <c r="P39" s="581" t="s">
        <v>543</v>
      </c>
      <c r="Q39" s="586"/>
      <c r="R39" s="588" t="s">
        <v>75</v>
      </c>
      <c r="S39" s="586"/>
      <c r="T39" s="588" t="s">
        <v>159</v>
      </c>
      <c r="U39" s="586"/>
      <c r="V39" s="588" t="s">
        <v>75</v>
      </c>
      <c r="W39" s="586"/>
      <c r="X39" s="588" t="s">
        <v>10</v>
      </c>
      <c r="Y39" s="588" t="s">
        <v>161</v>
      </c>
      <c r="Z39" s="588" t="str">
        <f t="shared" si="0"/>
        <v/>
      </c>
      <c r="AA39" s="592" t="s">
        <v>6</v>
      </c>
      <c r="AB39" s="597" t="str">
        <f t="shared" si="1"/>
        <v/>
      </c>
      <c r="AC39" s="602" t="str">
        <f>IFERROR(ROUNDDOWN(ROUNDDOWN(ROUND(L39*VLOOKUP(K39,'【参考】数式用'!$A$2:$M$57,MATCH("処遇改善加算Ⅳ",'【参考】数式用'!$G$3:$M$3,0)+6,0),0)*M39,0)*Z39*0.5,0),"")</f>
        <v/>
      </c>
      <c r="AD39" s="608"/>
      <c r="AE39" s="616"/>
      <c r="AF39" s="616"/>
      <c r="AG39" s="622"/>
      <c r="AH39" s="625"/>
      <c r="AI39" s="706"/>
      <c r="AJ39" s="632"/>
      <c r="AK39" s="647" t="str">
        <f t="shared" si="2"/>
        <v/>
      </c>
      <c r="AL39" s="650" t="str">
        <f t="shared" si="3"/>
        <v/>
      </c>
      <c r="AM39" s="653"/>
      <c r="AN39" s="708" t="str">
        <f>IFERROR(VLOOKUP(K39,'【参考】数式用'!$A$2:$N$57,14,FALSE),"")</f>
        <v/>
      </c>
      <c r="AO39" s="708" t="str">
        <f t="shared" si="4"/>
        <v/>
      </c>
      <c r="AP39" s="710" t="str">
        <f t="shared" si="5"/>
        <v/>
      </c>
      <c r="AQ39" s="710" t="str">
        <f t="shared" si="6"/>
        <v>キャリアパス要件Ⅰ・Ⅱ_</v>
      </c>
      <c r="AR39" s="661" t="str">
        <f t="shared" si="7"/>
        <v>入力済</v>
      </c>
      <c r="AS39" s="708" t="str">
        <f t="shared" si="8"/>
        <v/>
      </c>
      <c r="AT39" s="661" t="str">
        <f t="shared" si="9"/>
        <v>入力済</v>
      </c>
      <c r="AU39" s="661" t="str">
        <f t="shared" si="10"/>
        <v/>
      </c>
      <c r="AV39" s="661" t="str">
        <f t="shared" si="11"/>
        <v/>
      </c>
      <c r="AW39" s="708" t="str">
        <f t="shared" si="12"/>
        <v/>
      </c>
      <c r="AX39" s="708" t="str">
        <f t="shared" si="13"/>
        <v>入力済</v>
      </c>
      <c r="AY39" s="661" t="str">
        <f>IFERROR(VLOOKUP(K39,'【参考】数式用'!$AR$3:$AS$49,2,FALSE),"")</f>
        <v/>
      </c>
      <c r="AZ39" s="708" t="str">
        <f t="shared" si="14"/>
        <v/>
      </c>
      <c r="BA39" s="656" t="str">
        <f t="shared" si="15"/>
        <v>入力済</v>
      </c>
      <c r="BB39" s="661" t="str">
        <f>IFERROR(VLOOKUP(K39,'【参考】数式用'!$AX$3:$AY$56,2,FALSE),"")</f>
        <v/>
      </c>
      <c r="BC39" s="708" t="str">
        <f t="shared" si="16"/>
        <v/>
      </c>
      <c r="BD39" s="656" t="str">
        <f t="shared" si="17"/>
        <v>入力済</v>
      </c>
      <c r="BE39" s="656" t="str">
        <f t="shared" si="18"/>
        <v/>
      </c>
      <c r="BF39" s="656" t="str">
        <f t="shared" si="19"/>
        <v/>
      </c>
      <c r="BG39" s="656" t="str">
        <f t="shared" si="20"/>
        <v/>
      </c>
      <c r="BH39" s="656" t="str">
        <f t="shared" si="21"/>
        <v/>
      </c>
      <c r="BI39" s="656" t="str">
        <f t="shared" si="22"/>
        <v/>
      </c>
      <c r="BM39" s="680" t="e">
        <f>VLOOKUP(K39,'【参考】数式用'!$A$2:$O$57,15,FALSE)</f>
        <v>#N/A</v>
      </c>
    </row>
    <row r="40" spans="1:65"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IF(AND(基本情報入力シート!AG68="",基本情報入力シート!AG68=""),"",基本情報入力シート!AG68)</f>
        <v/>
      </c>
      <c r="N40" s="569"/>
      <c r="O40" s="574" t="str">
        <f>IFERROR(VLOOKUP(K40,'【参考】数式用'!$A$2:$M$57,MATCH(N40,'【参考】数式用'!$G$3:$M$3,0)+6,0),"")</f>
        <v/>
      </c>
      <c r="P40" s="581" t="s">
        <v>543</v>
      </c>
      <c r="Q40" s="586"/>
      <c r="R40" s="588" t="s">
        <v>75</v>
      </c>
      <c r="S40" s="586"/>
      <c r="T40" s="588" t="s">
        <v>159</v>
      </c>
      <c r="U40" s="586"/>
      <c r="V40" s="588" t="s">
        <v>75</v>
      </c>
      <c r="W40" s="586"/>
      <c r="X40" s="588" t="s">
        <v>722</v>
      </c>
      <c r="Y40" s="588" t="s">
        <v>161</v>
      </c>
      <c r="Z40" s="588" t="str">
        <f t="shared" si="0"/>
        <v/>
      </c>
      <c r="AA40" s="592" t="s">
        <v>6</v>
      </c>
      <c r="AB40" s="597" t="str">
        <f t="shared" si="1"/>
        <v/>
      </c>
      <c r="AC40" s="602" t="str">
        <f>IFERROR(ROUNDDOWN(ROUNDDOWN(ROUND(L40*VLOOKUP(K40,'【参考】数式用'!$A$2:$M$57,MATCH("処遇改善加算Ⅳ",'【参考】数式用'!$G$3:$M$3,0)+6,0),0)*M40,0)*Z40*0.5,0),"")</f>
        <v/>
      </c>
      <c r="AD40" s="608"/>
      <c r="AE40" s="616"/>
      <c r="AF40" s="616"/>
      <c r="AG40" s="622"/>
      <c r="AH40" s="625"/>
      <c r="AI40" s="706"/>
      <c r="AJ40" s="632"/>
      <c r="AK40" s="647" t="str">
        <f t="shared" si="2"/>
        <v/>
      </c>
      <c r="AL40" s="650" t="str">
        <f t="shared" si="3"/>
        <v/>
      </c>
      <c r="AM40" s="653"/>
      <c r="AN40" s="708" t="str">
        <f>IFERROR(VLOOKUP(K40,'【参考】数式用'!$A$2:$N$57,14,FALSE),"")</f>
        <v/>
      </c>
      <c r="AO40" s="708" t="str">
        <f t="shared" si="4"/>
        <v/>
      </c>
      <c r="AP40" s="710" t="str">
        <f t="shared" si="5"/>
        <v/>
      </c>
      <c r="AQ40" s="710" t="str">
        <f t="shared" si="6"/>
        <v>キャリアパス要件Ⅰ・Ⅱ_</v>
      </c>
      <c r="AR40" s="661" t="str">
        <f t="shared" si="7"/>
        <v>入力済</v>
      </c>
      <c r="AS40" s="708" t="str">
        <f t="shared" si="8"/>
        <v/>
      </c>
      <c r="AT40" s="661" t="str">
        <f t="shared" si="9"/>
        <v>入力済</v>
      </c>
      <c r="AU40" s="661" t="str">
        <f t="shared" si="10"/>
        <v/>
      </c>
      <c r="AV40" s="661" t="str">
        <f t="shared" si="11"/>
        <v/>
      </c>
      <c r="AW40" s="708" t="str">
        <f t="shared" si="12"/>
        <v/>
      </c>
      <c r="AX40" s="708" t="str">
        <f t="shared" si="13"/>
        <v>入力済</v>
      </c>
      <c r="AY40" s="661" t="str">
        <f>IFERROR(VLOOKUP(K40,'【参考】数式用'!$AR$3:$AS$49,2,FALSE),"")</f>
        <v/>
      </c>
      <c r="AZ40" s="708" t="str">
        <f t="shared" si="14"/>
        <v/>
      </c>
      <c r="BA40" s="656" t="str">
        <f t="shared" si="15"/>
        <v>入力済</v>
      </c>
      <c r="BB40" s="661" t="str">
        <f>IFERROR(VLOOKUP(K40,'【参考】数式用'!$AX$3:$AY$56,2,FALSE),"")</f>
        <v/>
      </c>
      <c r="BC40" s="708" t="str">
        <f t="shared" si="16"/>
        <v/>
      </c>
      <c r="BD40" s="656" t="str">
        <f t="shared" si="17"/>
        <v>入力済</v>
      </c>
      <c r="BE40" s="656" t="str">
        <f t="shared" si="18"/>
        <v/>
      </c>
      <c r="BF40" s="656" t="str">
        <f t="shared" si="19"/>
        <v/>
      </c>
      <c r="BG40" s="656" t="str">
        <f t="shared" si="20"/>
        <v/>
      </c>
      <c r="BH40" s="656" t="str">
        <f t="shared" si="21"/>
        <v/>
      </c>
      <c r="BI40" s="656" t="str">
        <f t="shared" si="22"/>
        <v/>
      </c>
      <c r="BM40" s="680" t="e">
        <f>VLOOKUP(K40,'【参考】数式用'!$A$2:$O$57,15,FALSE)</f>
        <v>#N/A</v>
      </c>
    </row>
    <row r="41" spans="1:65"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IF(AND(基本情報入力シート!AG69="",基本情報入力シート!AG69=""),"",基本情報入力シート!AG69)</f>
        <v/>
      </c>
      <c r="N41" s="569"/>
      <c r="O41" s="574" t="str">
        <f>IFERROR(VLOOKUP(K41,'【参考】数式用'!$A$2:$M$57,MATCH(N41,'【参考】数式用'!$G$3:$M$3,0)+6,0),"")</f>
        <v/>
      </c>
      <c r="P41" s="581" t="s">
        <v>543</v>
      </c>
      <c r="Q41" s="586"/>
      <c r="R41" s="588" t="s">
        <v>75</v>
      </c>
      <c r="S41" s="586"/>
      <c r="T41" s="588" t="s">
        <v>159</v>
      </c>
      <c r="U41" s="586"/>
      <c r="V41" s="588" t="s">
        <v>75</v>
      </c>
      <c r="W41" s="586"/>
      <c r="X41" s="588" t="s">
        <v>722</v>
      </c>
      <c r="Y41" s="588" t="s">
        <v>161</v>
      </c>
      <c r="Z41" s="588" t="str">
        <f t="shared" si="0"/>
        <v/>
      </c>
      <c r="AA41" s="592" t="s">
        <v>6</v>
      </c>
      <c r="AB41" s="597" t="str">
        <f t="shared" si="1"/>
        <v/>
      </c>
      <c r="AC41" s="602" t="str">
        <f>IFERROR(ROUNDDOWN(ROUNDDOWN(ROUND(L41*VLOOKUP(K41,'【参考】数式用'!$A$2:$M$57,MATCH("処遇改善加算Ⅳ",'【参考】数式用'!$G$3:$M$3,0)+6,0),0)*M41,0)*Z41*0.5,0),"")</f>
        <v/>
      </c>
      <c r="AD41" s="608"/>
      <c r="AE41" s="616"/>
      <c r="AF41" s="616"/>
      <c r="AG41" s="622"/>
      <c r="AH41" s="625"/>
      <c r="AI41" s="706"/>
      <c r="AJ41" s="632"/>
      <c r="AK41" s="647" t="str">
        <f t="shared" si="2"/>
        <v/>
      </c>
      <c r="AL41" s="650" t="str">
        <f t="shared" si="3"/>
        <v/>
      </c>
      <c r="AM41" s="653"/>
      <c r="AN41" s="708" t="str">
        <f>IFERROR(VLOOKUP(K41,'【参考】数式用'!$A$2:$N$57,14,FALSE),"")</f>
        <v/>
      </c>
      <c r="AO41" s="708" t="str">
        <f t="shared" si="4"/>
        <v/>
      </c>
      <c r="AP41" s="710" t="str">
        <f t="shared" si="5"/>
        <v/>
      </c>
      <c r="AQ41" s="710" t="str">
        <f t="shared" si="6"/>
        <v>キャリアパス要件Ⅰ・Ⅱ_</v>
      </c>
      <c r="AR41" s="661" t="str">
        <f t="shared" si="7"/>
        <v>入力済</v>
      </c>
      <c r="AS41" s="708" t="str">
        <f t="shared" si="8"/>
        <v/>
      </c>
      <c r="AT41" s="661" t="str">
        <f t="shared" si="9"/>
        <v>入力済</v>
      </c>
      <c r="AU41" s="661" t="str">
        <f t="shared" si="10"/>
        <v/>
      </c>
      <c r="AV41" s="661" t="str">
        <f t="shared" si="11"/>
        <v/>
      </c>
      <c r="AW41" s="708" t="str">
        <f t="shared" si="12"/>
        <v/>
      </c>
      <c r="AX41" s="708" t="str">
        <f t="shared" si="13"/>
        <v>入力済</v>
      </c>
      <c r="AY41" s="661" t="str">
        <f>IFERROR(VLOOKUP(K41,'【参考】数式用'!$AR$3:$AS$49,2,FALSE),"")</f>
        <v/>
      </c>
      <c r="AZ41" s="708" t="str">
        <f t="shared" si="14"/>
        <v/>
      </c>
      <c r="BA41" s="656" t="str">
        <f t="shared" si="15"/>
        <v>入力済</v>
      </c>
      <c r="BB41" s="661" t="str">
        <f>IFERROR(VLOOKUP(K41,'【参考】数式用'!$AX$3:$AY$56,2,FALSE),"")</f>
        <v/>
      </c>
      <c r="BC41" s="708" t="str">
        <f t="shared" si="16"/>
        <v/>
      </c>
      <c r="BD41" s="656" t="str">
        <f t="shared" si="17"/>
        <v>入力済</v>
      </c>
      <c r="BE41" s="656" t="str">
        <f t="shared" si="18"/>
        <v/>
      </c>
      <c r="BF41" s="656" t="str">
        <f t="shared" si="19"/>
        <v/>
      </c>
      <c r="BG41" s="656" t="str">
        <f t="shared" si="20"/>
        <v/>
      </c>
      <c r="BH41" s="656" t="str">
        <f t="shared" si="21"/>
        <v/>
      </c>
      <c r="BI41" s="656" t="str">
        <f t="shared" si="22"/>
        <v/>
      </c>
      <c r="BM41" s="680" t="e">
        <f>VLOOKUP(K41,'【参考】数式用'!$A$2:$O$57,15,FALSE)</f>
        <v>#N/A</v>
      </c>
    </row>
    <row r="42" spans="1:65"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IF(AND(基本情報入力シート!AG70="",基本情報入力シート!AG70=""),"",基本情報入力シート!AG70)</f>
        <v/>
      </c>
      <c r="N42" s="569"/>
      <c r="O42" s="574" t="str">
        <f>IFERROR(VLOOKUP(K42,'【参考】数式用'!$A$2:$M$57,MATCH(N42,'【参考】数式用'!$G$3:$M$3,0)+6,0),"")</f>
        <v/>
      </c>
      <c r="P42" s="581" t="s">
        <v>543</v>
      </c>
      <c r="Q42" s="586"/>
      <c r="R42" s="588" t="s">
        <v>75</v>
      </c>
      <c r="S42" s="586"/>
      <c r="T42" s="588" t="s">
        <v>159</v>
      </c>
      <c r="U42" s="586"/>
      <c r="V42" s="588" t="s">
        <v>75</v>
      </c>
      <c r="W42" s="586"/>
      <c r="X42" s="588" t="s">
        <v>722</v>
      </c>
      <c r="Y42" s="588" t="s">
        <v>161</v>
      </c>
      <c r="Z42" s="588" t="str">
        <f t="shared" si="0"/>
        <v/>
      </c>
      <c r="AA42" s="592" t="s">
        <v>6</v>
      </c>
      <c r="AB42" s="597" t="str">
        <f t="shared" si="1"/>
        <v/>
      </c>
      <c r="AC42" s="602" t="str">
        <f>IFERROR(ROUNDDOWN(ROUNDDOWN(ROUND(L42*VLOOKUP(K42,'【参考】数式用'!$A$2:$M$57,MATCH("処遇改善加算Ⅳ",'【参考】数式用'!$G$3:$M$3,0)+6,0),0)*M42,0)*Z42*0.5,0),"")</f>
        <v/>
      </c>
      <c r="AD42" s="608"/>
      <c r="AE42" s="616"/>
      <c r="AF42" s="616"/>
      <c r="AG42" s="622"/>
      <c r="AH42" s="625"/>
      <c r="AI42" s="706"/>
      <c r="AJ42" s="632"/>
      <c r="AK42" s="647" t="str">
        <f t="shared" si="2"/>
        <v/>
      </c>
      <c r="AL42" s="650" t="str">
        <f t="shared" si="3"/>
        <v/>
      </c>
      <c r="AM42" s="653"/>
      <c r="AN42" s="708" t="str">
        <f>IFERROR(VLOOKUP(K42,'【参考】数式用'!$A$2:$N$57,14,FALSE),"")</f>
        <v/>
      </c>
      <c r="AO42" s="708" t="str">
        <f t="shared" si="4"/>
        <v/>
      </c>
      <c r="AP42" s="710" t="str">
        <f t="shared" si="5"/>
        <v/>
      </c>
      <c r="AQ42" s="710" t="str">
        <f t="shared" si="6"/>
        <v>キャリアパス要件Ⅰ・Ⅱ_</v>
      </c>
      <c r="AR42" s="661" t="str">
        <f t="shared" si="7"/>
        <v>入力済</v>
      </c>
      <c r="AS42" s="708" t="str">
        <f t="shared" si="8"/>
        <v/>
      </c>
      <c r="AT42" s="661" t="str">
        <f t="shared" si="9"/>
        <v>入力済</v>
      </c>
      <c r="AU42" s="661" t="str">
        <f t="shared" si="10"/>
        <v/>
      </c>
      <c r="AV42" s="661" t="str">
        <f t="shared" si="11"/>
        <v/>
      </c>
      <c r="AW42" s="708" t="str">
        <f t="shared" si="12"/>
        <v/>
      </c>
      <c r="AX42" s="708" t="str">
        <f t="shared" si="13"/>
        <v>入力済</v>
      </c>
      <c r="AY42" s="661" t="str">
        <f>IFERROR(VLOOKUP(K42,'【参考】数式用'!$AR$3:$AS$49,2,FALSE),"")</f>
        <v/>
      </c>
      <c r="AZ42" s="708" t="str">
        <f t="shared" si="14"/>
        <v/>
      </c>
      <c r="BA42" s="656" t="str">
        <f t="shared" si="15"/>
        <v>入力済</v>
      </c>
      <c r="BB42" s="661" t="str">
        <f>IFERROR(VLOOKUP(K42,'【参考】数式用'!$AX$3:$AY$56,2,FALSE),"")</f>
        <v/>
      </c>
      <c r="BC42" s="708" t="str">
        <f t="shared" si="16"/>
        <v/>
      </c>
      <c r="BD42" s="656" t="str">
        <f t="shared" si="17"/>
        <v>入力済</v>
      </c>
      <c r="BE42" s="656" t="str">
        <f t="shared" si="18"/>
        <v/>
      </c>
      <c r="BF42" s="656" t="str">
        <f t="shared" si="19"/>
        <v/>
      </c>
      <c r="BG42" s="656" t="str">
        <f t="shared" si="20"/>
        <v/>
      </c>
      <c r="BH42" s="656" t="str">
        <f t="shared" si="21"/>
        <v/>
      </c>
      <c r="BI42" s="656" t="str">
        <f t="shared" si="22"/>
        <v/>
      </c>
      <c r="BM42" s="680" t="e">
        <f>VLOOKUP(K42,'【参考】数式用'!$A$2:$O$57,15,FALSE)</f>
        <v>#N/A</v>
      </c>
    </row>
    <row r="43" spans="1:65"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IF(AND(基本情報入力シート!AG71="",基本情報入力シート!AG71=""),"",基本情報入力シート!AG71)</f>
        <v/>
      </c>
      <c r="N43" s="569"/>
      <c r="O43" s="574" t="str">
        <f>IFERROR(VLOOKUP(K43,'【参考】数式用'!$A$2:$M$57,MATCH(N43,'【参考】数式用'!$G$3:$M$3,0)+6,0),"")</f>
        <v/>
      </c>
      <c r="P43" s="581" t="s">
        <v>543</v>
      </c>
      <c r="Q43" s="586"/>
      <c r="R43" s="588" t="s">
        <v>75</v>
      </c>
      <c r="S43" s="586"/>
      <c r="T43" s="588" t="s">
        <v>159</v>
      </c>
      <c r="U43" s="586"/>
      <c r="V43" s="588" t="s">
        <v>75</v>
      </c>
      <c r="W43" s="586"/>
      <c r="X43" s="588" t="s">
        <v>10</v>
      </c>
      <c r="Y43" s="588" t="s">
        <v>161</v>
      </c>
      <c r="Z43" s="588" t="str">
        <f t="shared" si="0"/>
        <v/>
      </c>
      <c r="AA43" s="592" t="s">
        <v>6</v>
      </c>
      <c r="AB43" s="597" t="str">
        <f t="shared" si="1"/>
        <v/>
      </c>
      <c r="AC43" s="602" t="str">
        <f>IFERROR(ROUNDDOWN(ROUNDDOWN(ROUND(L43*VLOOKUP(K43,'【参考】数式用'!$A$2:$M$57,MATCH("処遇改善加算Ⅳ",'【参考】数式用'!$G$3:$M$3,0)+6,0),0)*M43,0)*Z43*0.5,0),"")</f>
        <v/>
      </c>
      <c r="AD43" s="608"/>
      <c r="AE43" s="616"/>
      <c r="AF43" s="616"/>
      <c r="AG43" s="622"/>
      <c r="AH43" s="625"/>
      <c r="AI43" s="706"/>
      <c r="AJ43" s="632"/>
      <c r="AK43" s="647" t="str">
        <f t="shared" si="2"/>
        <v/>
      </c>
      <c r="AL43" s="650" t="str">
        <f t="shared" si="3"/>
        <v/>
      </c>
      <c r="AM43" s="653"/>
      <c r="AN43" s="708" t="str">
        <f>IFERROR(VLOOKUP(K43,'【参考】数式用'!$A$2:$N$57,14,FALSE),"")</f>
        <v/>
      </c>
      <c r="AO43" s="708" t="str">
        <f t="shared" si="4"/>
        <v/>
      </c>
      <c r="AP43" s="710" t="str">
        <f t="shared" si="5"/>
        <v/>
      </c>
      <c r="AQ43" s="710" t="str">
        <f t="shared" si="6"/>
        <v>キャリアパス要件Ⅰ・Ⅱ_</v>
      </c>
      <c r="AR43" s="661" t="str">
        <f t="shared" si="7"/>
        <v>入力済</v>
      </c>
      <c r="AS43" s="708" t="str">
        <f t="shared" si="8"/>
        <v/>
      </c>
      <c r="AT43" s="661" t="str">
        <f t="shared" si="9"/>
        <v>入力済</v>
      </c>
      <c r="AU43" s="661" t="str">
        <f t="shared" si="10"/>
        <v/>
      </c>
      <c r="AV43" s="661" t="str">
        <f t="shared" si="11"/>
        <v/>
      </c>
      <c r="AW43" s="708" t="str">
        <f t="shared" si="12"/>
        <v/>
      </c>
      <c r="AX43" s="708" t="str">
        <f t="shared" si="13"/>
        <v>入力済</v>
      </c>
      <c r="AY43" s="661" t="str">
        <f>IFERROR(VLOOKUP(K43,'【参考】数式用'!$AR$3:$AS$49,2,FALSE),"")</f>
        <v/>
      </c>
      <c r="AZ43" s="708" t="str">
        <f t="shared" si="14"/>
        <v/>
      </c>
      <c r="BA43" s="656" t="str">
        <f t="shared" si="15"/>
        <v>入力済</v>
      </c>
      <c r="BB43" s="661" t="str">
        <f>IFERROR(VLOOKUP(K43,'【参考】数式用'!$AX$3:$AY$56,2,FALSE),"")</f>
        <v/>
      </c>
      <c r="BC43" s="708" t="str">
        <f t="shared" si="16"/>
        <v/>
      </c>
      <c r="BD43" s="656" t="str">
        <f t="shared" si="17"/>
        <v>入力済</v>
      </c>
      <c r="BE43" s="656" t="str">
        <f t="shared" si="18"/>
        <v/>
      </c>
      <c r="BF43" s="656" t="str">
        <f t="shared" si="19"/>
        <v/>
      </c>
      <c r="BG43" s="656" t="str">
        <f t="shared" si="20"/>
        <v/>
      </c>
      <c r="BH43" s="656" t="str">
        <f t="shared" si="21"/>
        <v/>
      </c>
      <c r="BI43" s="656" t="str">
        <f t="shared" si="22"/>
        <v/>
      </c>
      <c r="BM43" s="680" t="e">
        <f>VLOOKUP(K43,'【参考】数式用'!$A$2:$O$57,15,FALSE)</f>
        <v>#N/A</v>
      </c>
    </row>
    <row r="44" spans="1:65"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IF(AND(基本情報入力シート!AG72="",基本情報入力シート!AG72=""),"",基本情報入力シート!AG72)</f>
        <v/>
      </c>
      <c r="N44" s="569"/>
      <c r="O44" s="574" t="str">
        <f>IFERROR(VLOOKUP(K44,'【参考】数式用'!$A$2:$M$57,MATCH(N44,'【参考】数式用'!$G$3:$M$3,0)+6,0),"")</f>
        <v/>
      </c>
      <c r="P44" s="581" t="s">
        <v>543</v>
      </c>
      <c r="Q44" s="586"/>
      <c r="R44" s="588" t="s">
        <v>75</v>
      </c>
      <c r="S44" s="586"/>
      <c r="T44" s="588" t="s">
        <v>159</v>
      </c>
      <c r="U44" s="586"/>
      <c r="V44" s="588" t="s">
        <v>75</v>
      </c>
      <c r="W44" s="586"/>
      <c r="X44" s="588" t="s">
        <v>10</v>
      </c>
      <c r="Y44" s="588" t="s">
        <v>161</v>
      </c>
      <c r="Z44" s="588" t="str">
        <f t="shared" si="0"/>
        <v/>
      </c>
      <c r="AA44" s="592" t="s">
        <v>6</v>
      </c>
      <c r="AB44" s="597" t="str">
        <f t="shared" si="1"/>
        <v/>
      </c>
      <c r="AC44" s="602" t="str">
        <f>IFERROR(ROUNDDOWN(ROUNDDOWN(ROUND(L44*VLOOKUP(K44,'【参考】数式用'!$A$2:$M$57,MATCH("処遇改善加算Ⅳ",'【参考】数式用'!$G$3:$M$3,0)+6,0),0)*M44,0)*Z44*0.5,0),"")</f>
        <v/>
      </c>
      <c r="AD44" s="608"/>
      <c r="AE44" s="616"/>
      <c r="AF44" s="616"/>
      <c r="AG44" s="622"/>
      <c r="AH44" s="625"/>
      <c r="AI44" s="706"/>
      <c r="AJ44" s="632"/>
      <c r="AK44" s="647" t="str">
        <f t="shared" si="2"/>
        <v/>
      </c>
      <c r="AL44" s="650" t="str">
        <f t="shared" si="3"/>
        <v/>
      </c>
      <c r="AM44" s="653"/>
      <c r="AN44" s="708" t="str">
        <f>IFERROR(VLOOKUP(K44,'【参考】数式用'!$A$2:$N$57,14,FALSE),"")</f>
        <v/>
      </c>
      <c r="AO44" s="708" t="str">
        <f t="shared" si="4"/>
        <v/>
      </c>
      <c r="AP44" s="710" t="str">
        <f t="shared" si="5"/>
        <v/>
      </c>
      <c r="AQ44" s="710" t="str">
        <f t="shared" si="6"/>
        <v>キャリアパス要件Ⅰ・Ⅱ_</v>
      </c>
      <c r="AR44" s="661" t="str">
        <f t="shared" si="7"/>
        <v>入力済</v>
      </c>
      <c r="AS44" s="708" t="str">
        <f t="shared" si="8"/>
        <v/>
      </c>
      <c r="AT44" s="661" t="str">
        <f t="shared" si="9"/>
        <v>入力済</v>
      </c>
      <c r="AU44" s="661" t="str">
        <f t="shared" si="10"/>
        <v/>
      </c>
      <c r="AV44" s="661" t="str">
        <f t="shared" si="11"/>
        <v/>
      </c>
      <c r="AW44" s="708" t="str">
        <f t="shared" si="12"/>
        <v/>
      </c>
      <c r="AX44" s="708" t="str">
        <f t="shared" si="13"/>
        <v>入力済</v>
      </c>
      <c r="AY44" s="661" t="str">
        <f>IFERROR(VLOOKUP(K44,'【参考】数式用'!$AR$3:$AS$49,2,FALSE),"")</f>
        <v/>
      </c>
      <c r="AZ44" s="708" t="str">
        <f t="shared" si="14"/>
        <v/>
      </c>
      <c r="BA44" s="656" t="str">
        <f t="shared" si="15"/>
        <v>入力済</v>
      </c>
      <c r="BB44" s="661" t="str">
        <f>IFERROR(VLOOKUP(K44,'【参考】数式用'!$AX$3:$AY$56,2,FALSE),"")</f>
        <v/>
      </c>
      <c r="BC44" s="708" t="str">
        <f t="shared" si="16"/>
        <v/>
      </c>
      <c r="BD44" s="656" t="str">
        <f t="shared" si="17"/>
        <v>入力済</v>
      </c>
      <c r="BE44" s="656" t="str">
        <f t="shared" si="18"/>
        <v/>
      </c>
      <c r="BF44" s="656" t="str">
        <f t="shared" si="19"/>
        <v/>
      </c>
      <c r="BG44" s="656" t="str">
        <f t="shared" si="20"/>
        <v/>
      </c>
      <c r="BH44" s="656" t="str">
        <f t="shared" si="21"/>
        <v/>
      </c>
      <c r="BI44" s="656" t="str">
        <f t="shared" si="22"/>
        <v/>
      </c>
      <c r="BM44" s="680" t="e">
        <f>VLOOKUP(K44,'【参考】数式用'!$A$2:$O$57,15,FALSE)</f>
        <v>#N/A</v>
      </c>
    </row>
    <row r="45" spans="1:65"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IF(AND(基本情報入力シート!AG73="",基本情報入力シート!AG73=""),"",基本情報入力シート!AG73)</f>
        <v/>
      </c>
      <c r="N45" s="569"/>
      <c r="O45" s="574" t="str">
        <f>IFERROR(VLOOKUP(K45,'【参考】数式用'!$A$2:$M$57,MATCH(N45,'【参考】数式用'!$G$3:$M$3,0)+6,0),"")</f>
        <v/>
      </c>
      <c r="P45" s="581" t="s">
        <v>543</v>
      </c>
      <c r="Q45" s="586"/>
      <c r="R45" s="588" t="s">
        <v>75</v>
      </c>
      <c r="S45" s="586"/>
      <c r="T45" s="588" t="s">
        <v>159</v>
      </c>
      <c r="U45" s="586"/>
      <c r="V45" s="588" t="s">
        <v>75</v>
      </c>
      <c r="W45" s="586"/>
      <c r="X45" s="588" t="s">
        <v>722</v>
      </c>
      <c r="Y45" s="588" t="s">
        <v>161</v>
      </c>
      <c r="Z45" s="588" t="str">
        <f t="shared" si="0"/>
        <v/>
      </c>
      <c r="AA45" s="592" t="s">
        <v>6</v>
      </c>
      <c r="AB45" s="597" t="str">
        <f t="shared" si="1"/>
        <v/>
      </c>
      <c r="AC45" s="602" t="str">
        <f>IFERROR(ROUNDDOWN(ROUNDDOWN(ROUND(L45*VLOOKUP(K45,'【参考】数式用'!$A$2:$M$57,MATCH("処遇改善加算Ⅳ",'【参考】数式用'!$G$3:$M$3,0)+6,0),0)*M45,0)*Z45*0.5,0),"")</f>
        <v/>
      </c>
      <c r="AD45" s="608"/>
      <c r="AE45" s="616"/>
      <c r="AF45" s="616"/>
      <c r="AG45" s="622"/>
      <c r="AH45" s="625"/>
      <c r="AI45" s="706"/>
      <c r="AJ45" s="632"/>
      <c r="AK45" s="647" t="str">
        <f t="shared" si="2"/>
        <v/>
      </c>
      <c r="AL45" s="650" t="str">
        <f t="shared" si="3"/>
        <v/>
      </c>
      <c r="AM45" s="653"/>
      <c r="AN45" s="708" t="str">
        <f>IFERROR(VLOOKUP(K45,'【参考】数式用'!$A$2:$N$57,14,FALSE),"")</f>
        <v/>
      </c>
      <c r="AO45" s="708" t="str">
        <f t="shared" si="4"/>
        <v/>
      </c>
      <c r="AP45" s="710" t="str">
        <f t="shared" si="5"/>
        <v/>
      </c>
      <c r="AQ45" s="710" t="str">
        <f t="shared" si="6"/>
        <v>キャリアパス要件Ⅰ・Ⅱ_</v>
      </c>
      <c r="AR45" s="661" t="str">
        <f t="shared" si="7"/>
        <v>入力済</v>
      </c>
      <c r="AS45" s="708" t="str">
        <f t="shared" si="8"/>
        <v/>
      </c>
      <c r="AT45" s="661" t="str">
        <f t="shared" si="9"/>
        <v>入力済</v>
      </c>
      <c r="AU45" s="661" t="str">
        <f t="shared" si="10"/>
        <v/>
      </c>
      <c r="AV45" s="661" t="str">
        <f t="shared" si="11"/>
        <v/>
      </c>
      <c r="AW45" s="708" t="str">
        <f t="shared" si="12"/>
        <v/>
      </c>
      <c r="AX45" s="708" t="str">
        <f t="shared" si="13"/>
        <v>入力済</v>
      </c>
      <c r="AY45" s="661" t="str">
        <f>IFERROR(VLOOKUP(K45,'【参考】数式用'!$AR$3:$AS$49,2,FALSE),"")</f>
        <v/>
      </c>
      <c r="AZ45" s="708" t="str">
        <f t="shared" si="14"/>
        <v/>
      </c>
      <c r="BA45" s="656" t="str">
        <f t="shared" si="15"/>
        <v>入力済</v>
      </c>
      <c r="BB45" s="661" t="str">
        <f>IFERROR(VLOOKUP(K45,'【参考】数式用'!$AX$3:$AY$56,2,FALSE),"")</f>
        <v/>
      </c>
      <c r="BC45" s="708" t="str">
        <f t="shared" si="16"/>
        <v/>
      </c>
      <c r="BD45" s="656" t="str">
        <f t="shared" si="17"/>
        <v>入力済</v>
      </c>
      <c r="BE45" s="656" t="str">
        <f t="shared" si="18"/>
        <v/>
      </c>
      <c r="BF45" s="656" t="str">
        <f t="shared" si="19"/>
        <v/>
      </c>
      <c r="BG45" s="656" t="str">
        <f t="shared" si="20"/>
        <v/>
      </c>
      <c r="BH45" s="656" t="str">
        <f t="shared" si="21"/>
        <v/>
      </c>
      <c r="BI45" s="656" t="str">
        <f t="shared" si="22"/>
        <v/>
      </c>
      <c r="BM45" s="680" t="e">
        <f>VLOOKUP(K45,'【参考】数式用'!$A$2:$O$57,15,FALSE)</f>
        <v>#N/A</v>
      </c>
    </row>
    <row r="46" spans="1:65"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IF(AND(基本情報入力シート!AG74="",基本情報入力シート!AG74=""),"",基本情報入力シート!AG74)</f>
        <v/>
      </c>
      <c r="N46" s="569"/>
      <c r="O46" s="574" t="str">
        <f>IFERROR(VLOOKUP(K46,'【参考】数式用'!$A$2:$M$57,MATCH(N46,'【参考】数式用'!$G$3:$M$3,0)+6,0),"")</f>
        <v/>
      </c>
      <c r="P46" s="581" t="s">
        <v>543</v>
      </c>
      <c r="Q46" s="586"/>
      <c r="R46" s="588" t="s">
        <v>75</v>
      </c>
      <c r="S46" s="586"/>
      <c r="T46" s="588" t="s">
        <v>159</v>
      </c>
      <c r="U46" s="586"/>
      <c r="V46" s="588" t="s">
        <v>75</v>
      </c>
      <c r="W46" s="586"/>
      <c r="X46" s="588" t="s">
        <v>722</v>
      </c>
      <c r="Y46" s="588" t="s">
        <v>161</v>
      </c>
      <c r="Z46" s="588" t="str">
        <f t="shared" si="0"/>
        <v/>
      </c>
      <c r="AA46" s="592" t="s">
        <v>6</v>
      </c>
      <c r="AB46" s="597" t="str">
        <f t="shared" si="1"/>
        <v/>
      </c>
      <c r="AC46" s="602" t="str">
        <f>IFERROR(ROUNDDOWN(ROUNDDOWN(ROUND(L46*VLOOKUP(K46,'【参考】数式用'!$A$2:$M$57,MATCH("処遇改善加算Ⅳ",'【参考】数式用'!$G$3:$M$3,0)+6,0),0)*M46,0)*Z46*0.5,0),"")</f>
        <v/>
      </c>
      <c r="AD46" s="608"/>
      <c r="AE46" s="616"/>
      <c r="AF46" s="616"/>
      <c r="AG46" s="622"/>
      <c r="AH46" s="625"/>
      <c r="AI46" s="706"/>
      <c r="AJ46" s="632"/>
      <c r="AK46" s="647" t="str">
        <f t="shared" si="2"/>
        <v/>
      </c>
      <c r="AL46" s="650" t="str">
        <f t="shared" si="3"/>
        <v/>
      </c>
      <c r="AM46" s="653"/>
      <c r="AN46" s="708" t="str">
        <f>IFERROR(VLOOKUP(K46,'【参考】数式用'!$A$2:$N$57,14,FALSE),"")</f>
        <v/>
      </c>
      <c r="AO46" s="708" t="str">
        <f t="shared" si="4"/>
        <v/>
      </c>
      <c r="AP46" s="710" t="str">
        <f t="shared" si="5"/>
        <v/>
      </c>
      <c r="AQ46" s="710" t="str">
        <f t="shared" si="6"/>
        <v>キャリアパス要件Ⅰ・Ⅱ_</v>
      </c>
      <c r="AR46" s="661" t="str">
        <f t="shared" si="7"/>
        <v>入力済</v>
      </c>
      <c r="AS46" s="708" t="str">
        <f t="shared" si="8"/>
        <v/>
      </c>
      <c r="AT46" s="661" t="str">
        <f t="shared" si="9"/>
        <v>入力済</v>
      </c>
      <c r="AU46" s="661" t="str">
        <f t="shared" si="10"/>
        <v/>
      </c>
      <c r="AV46" s="661" t="str">
        <f t="shared" si="11"/>
        <v/>
      </c>
      <c r="AW46" s="708" t="str">
        <f t="shared" si="12"/>
        <v/>
      </c>
      <c r="AX46" s="708" t="str">
        <f t="shared" si="13"/>
        <v>入力済</v>
      </c>
      <c r="AY46" s="661" t="str">
        <f>IFERROR(VLOOKUP(K46,'【参考】数式用'!$AR$3:$AS$49,2,FALSE),"")</f>
        <v/>
      </c>
      <c r="AZ46" s="708" t="str">
        <f t="shared" si="14"/>
        <v/>
      </c>
      <c r="BA46" s="656" t="str">
        <f t="shared" si="15"/>
        <v>入力済</v>
      </c>
      <c r="BB46" s="661" t="str">
        <f>IFERROR(VLOOKUP(K46,'【参考】数式用'!$AX$3:$AY$56,2,FALSE),"")</f>
        <v/>
      </c>
      <c r="BC46" s="708" t="str">
        <f t="shared" si="16"/>
        <v/>
      </c>
      <c r="BD46" s="656" t="str">
        <f t="shared" si="17"/>
        <v>入力済</v>
      </c>
      <c r="BE46" s="656" t="str">
        <f t="shared" si="18"/>
        <v/>
      </c>
      <c r="BF46" s="656" t="str">
        <f t="shared" si="19"/>
        <v/>
      </c>
      <c r="BG46" s="656" t="str">
        <f t="shared" si="20"/>
        <v/>
      </c>
      <c r="BH46" s="656" t="str">
        <f t="shared" si="21"/>
        <v/>
      </c>
      <c r="BI46" s="656" t="str">
        <f t="shared" si="22"/>
        <v/>
      </c>
      <c r="BM46" s="680" t="e">
        <f>VLOOKUP(K46,'【参考】数式用'!$A$2:$O$57,15,FALSE)</f>
        <v>#N/A</v>
      </c>
    </row>
    <row r="47" spans="1:65"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IF(AND(基本情報入力シート!AG75="",基本情報入力シート!AG75=""),"",基本情報入力シート!AG75)</f>
        <v/>
      </c>
      <c r="N47" s="569"/>
      <c r="O47" s="574" t="str">
        <f>IFERROR(VLOOKUP(K47,'【参考】数式用'!$A$2:$M$57,MATCH(N47,'【参考】数式用'!$G$3:$M$3,0)+6,0),"")</f>
        <v/>
      </c>
      <c r="P47" s="581" t="s">
        <v>543</v>
      </c>
      <c r="Q47" s="586"/>
      <c r="R47" s="588" t="s">
        <v>75</v>
      </c>
      <c r="S47" s="586"/>
      <c r="T47" s="588" t="s">
        <v>159</v>
      </c>
      <c r="U47" s="586"/>
      <c r="V47" s="588" t="s">
        <v>75</v>
      </c>
      <c r="W47" s="586"/>
      <c r="X47" s="588" t="s">
        <v>722</v>
      </c>
      <c r="Y47" s="588" t="s">
        <v>161</v>
      </c>
      <c r="Z47" s="588" t="str">
        <f t="shared" si="0"/>
        <v/>
      </c>
      <c r="AA47" s="592" t="s">
        <v>6</v>
      </c>
      <c r="AB47" s="597" t="str">
        <f t="shared" si="1"/>
        <v/>
      </c>
      <c r="AC47" s="602" t="str">
        <f>IFERROR(ROUNDDOWN(ROUNDDOWN(ROUND(L47*VLOOKUP(K47,'【参考】数式用'!$A$2:$M$57,MATCH("処遇改善加算Ⅳ",'【参考】数式用'!$G$3:$M$3,0)+6,0),0)*M47,0)*Z47*0.5,0),"")</f>
        <v/>
      </c>
      <c r="AD47" s="608"/>
      <c r="AE47" s="616"/>
      <c r="AF47" s="616"/>
      <c r="AG47" s="622"/>
      <c r="AH47" s="625"/>
      <c r="AI47" s="706"/>
      <c r="AJ47" s="632"/>
      <c r="AK47" s="647" t="str">
        <f t="shared" si="2"/>
        <v/>
      </c>
      <c r="AL47" s="650" t="str">
        <f t="shared" si="3"/>
        <v/>
      </c>
      <c r="AM47" s="653"/>
      <c r="AN47" s="708" t="str">
        <f>IFERROR(VLOOKUP(K47,'【参考】数式用'!$A$2:$N$57,14,FALSE),"")</f>
        <v/>
      </c>
      <c r="AO47" s="708" t="str">
        <f t="shared" si="4"/>
        <v/>
      </c>
      <c r="AP47" s="710" t="str">
        <f t="shared" si="5"/>
        <v/>
      </c>
      <c r="AQ47" s="710" t="str">
        <f t="shared" si="6"/>
        <v>キャリアパス要件Ⅰ・Ⅱ_</v>
      </c>
      <c r="AR47" s="661" t="str">
        <f t="shared" si="7"/>
        <v>入力済</v>
      </c>
      <c r="AS47" s="708" t="str">
        <f t="shared" si="8"/>
        <v/>
      </c>
      <c r="AT47" s="661" t="str">
        <f t="shared" si="9"/>
        <v>入力済</v>
      </c>
      <c r="AU47" s="661" t="str">
        <f t="shared" si="10"/>
        <v/>
      </c>
      <c r="AV47" s="661" t="str">
        <f t="shared" si="11"/>
        <v/>
      </c>
      <c r="AW47" s="708" t="str">
        <f t="shared" si="12"/>
        <v/>
      </c>
      <c r="AX47" s="708" t="str">
        <f t="shared" si="13"/>
        <v>入力済</v>
      </c>
      <c r="AY47" s="661" t="str">
        <f>IFERROR(VLOOKUP(K47,'【参考】数式用'!$AR$3:$AS$49,2,FALSE),"")</f>
        <v/>
      </c>
      <c r="AZ47" s="708" t="str">
        <f t="shared" si="14"/>
        <v/>
      </c>
      <c r="BA47" s="656" t="str">
        <f t="shared" si="15"/>
        <v>入力済</v>
      </c>
      <c r="BB47" s="661" t="str">
        <f>IFERROR(VLOOKUP(K47,'【参考】数式用'!$AX$3:$AY$56,2,FALSE),"")</f>
        <v/>
      </c>
      <c r="BC47" s="708" t="str">
        <f t="shared" si="16"/>
        <v/>
      </c>
      <c r="BD47" s="656" t="str">
        <f t="shared" si="17"/>
        <v>入力済</v>
      </c>
      <c r="BE47" s="656" t="str">
        <f t="shared" si="18"/>
        <v/>
      </c>
      <c r="BF47" s="656" t="str">
        <f t="shared" si="19"/>
        <v/>
      </c>
      <c r="BG47" s="656" t="str">
        <f t="shared" si="20"/>
        <v/>
      </c>
      <c r="BH47" s="656" t="str">
        <f t="shared" si="21"/>
        <v/>
      </c>
      <c r="BI47" s="656" t="str">
        <f t="shared" si="22"/>
        <v/>
      </c>
      <c r="BM47" s="680" t="e">
        <f>VLOOKUP(K47,'【参考】数式用'!$A$2:$O$57,15,FALSE)</f>
        <v>#N/A</v>
      </c>
    </row>
    <row r="48" spans="1:65"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IF(AND(基本情報入力シート!AG76="",基本情報入力シート!AG76=""),"",基本情報入力シート!AG76)</f>
        <v/>
      </c>
      <c r="N48" s="569"/>
      <c r="O48" s="574" t="str">
        <f>IFERROR(VLOOKUP(K48,'【参考】数式用'!$A$2:$M$57,MATCH(N48,'【参考】数式用'!$G$3:$M$3,0)+6,0),"")</f>
        <v/>
      </c>
      <c r="P48" s="581" t="s">
        <v>543</v>
      </c>
      <c r="Q48" s="586"/>
      <c r="R48" s="588" t="s">
        <v>75</v>
      </c>
      <c r="S48" s="586"/>
      <c r="T48" s="588" t="s">
        <v>159</v>
      </c>
      <c r="U48" s="586"/>
      <c r="V48" s="588" t="s">
        <v>75</v>
      </c>
      <c r="W48" s="586"/>
      <c r="X48" s="588" t="s">
        <v>10</v>
      </c>
      <c r="Y48" s="588" t="s">
        <v>161</v>
      </c>
      <c r="Z48" s="588" t="str">
        <f t="shared" si="0"/>
        <v/>
      </c>
      <c r="AA48" s="592" t="s">
        <v>6</v>
      </c>
      <c r="AB48" s="597" t="str">
        <f t="shared" si="1"/>
        <v/>
      </c>
      <c r="AC48" s="602" t="str">
        <f>IFERROR(ROUNDDOWN(ROUNDDOWN(ROUND(L48*VLOOKUP(K48,'【参考】数式用'!$A$2:$M$57,MATCH("処遇改善加算Ⅳ",'【参考】数式用'!$G$3:$M$3,0)+6,0),0)*M48,0)*Z48*0.5,0),"")</f>
        <v/>
      </c>
      <c r="AD48" s="608"/>
      <c r="AE48" s="616"/>
      <c r="AF48" s="616"/>
      <c r="AG48" s="622"/>
      <c r="AH48" s="625"/>
      <c r="AI48" s="706"/>
      <c r="AJ48" s="632"/>
      <c r="AK48" s="647" t="str">
        <f t="shared" si="2"/>
        <v/>
      </c>
      <c r="AL48" s="650" t="str">
        <f t="shared" si="3"/>
        <v/>
      </c>
      <c r="AM48" s="653"/>
      <c r="AN48" s="708" t="str">
        <f>IFERROR(VLOOKUP(K48,'【参考】数式用'!$A$2:$N$57,14,FALSE),"")</f>
        <v/>
      </c>
      <c r="AO48" s="708" t="str">
        <f t="shared" si="4"/>
        <v/>
      </c>
      <c r="AP48" s="710" t="str">
        <f t="shared" si="5"/>
        <v/>
      </c>
      <c r="AQ48" s="710" t="str">
        <f t="shared" si="6"/>
        <v>キャリアパス要件Ⅰ・Ⅱ_</v>
      </c>
      <c r="AR48" s="661" t="str">
        <f t="shared" si="7"/>
        <v>入力済</v>
      </c>
      <c r="AS48" s="708" t="str">
        <f t="shared" si="8"/>
        <v/>
      </c>
      <c r="AT48" s="661" t="str">
        <f t="shared" si="9"/>
        <v>入力済</v>
      </c>
      <c r="AU48" s="661" t="str">
        <f t="shared" si="10"/>
        <v/>
      </c>
      <c r="AV48" s="661" t="str">
        <f t="shared" si="11"/>
        <v/>
      </c>
      <c r="AW48" s="708" t="str">
        <f t="shared" si="12"/>
        <v/>
      </c>
      <c r="AX48" s="708" t="str">
        <f t="shared" si="13"/>
        <v>入力済</v>
      </c>
      <c r="AY48" s="661" t="str">
        <f>IFERROR(VLOOKUP(K48,'【参考】数式用'!$AR$3:$AS$49,2,FALSE),"")</f>
        <v/>
      </c>
      <c r="AZ48" s="708" t="str">
        <f t="shared" si="14"/>
        <v/>
      </c>
      <c r="BA48" s="656" t="str">
        <f t="shared" si="15"/>
        <v>入力済</v>
      </c>
      <c r="BB48" s="661" t="str">
        <f>IFERROR(VLOOKUP(K48,'【参考】数式用'!$AX$3:$AY$56,2,FALSE),"")</f>
        <v/>
      </c>
      <c r="BC48" s="708" t="str">
        <f t="shared" si="16"/>
        <v/>
      </c>
      <c r="BD48" s="656" t="str">
        <f t="shared" si="17"/>
        <v>入力済</v>
      </c>
      <c r="BE48" s="656" t="str">
        <f t="shared" si="18"/>
        <v/>
      </c>
      <c r="BF48" s="656" t="str">
        <f t="shared" si="19"/>
        <v/>
      </c>
      <c r="BG48" s="656" t="str">
        <f t="shared" si="20"/>
        <v/>
      </c>
      <c r="BH48" s="656" t="str">
        <f t="shared" si="21"/>
        <v/>
      </c>
      <c r="BI48" s="656" t="str">
        <f t="shared" si="22"/>
        <v/>
      </c>
      <c r="BM48" s="680" t="e">
        <f>VLOOKUP(K48,'【参考】数式用'!$A$2:$O$57,15,FALSE)</f>
        <v>#N/A</v>
      </c>
    </row>
    <row r="49" spans="1:65"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IF(AND(基本情報入力シート!AG77="",基本情報入力シート!AG77=""),"",基本情報入力シート!AG77)</f>
        <v/>
      </c>
      <c r="N49" s="569"/>
      <c r="O49" s="574" t="str">
        <f>IFERROR(VLOOKUP(K49,'【参考】数式用'!$A$2:$M$57,MATCH(N49,'【参考】数式用'!$G$3:$M$3,0)+6,0),"")</f>
        <v/>
      </c>
      <c r="P49" s="581" t="s">
        <v>543</v>
      </c>
      <c r="Q49" s="586"/>
      <c r="R49" s="588" t="s">
        <v>75</v>
      </c>
      <c r="S49" s="586"/>
      <c r="T49" s="588" t="s">
        <v>159</v>
      </c>
      <c r="U49" s="586"/>
      <c r="V49" s="588" t="s">
        <v>75</v>
      </c>
      <c r="W49" s="586"/>
      <c r="X49" s="588" t="s">
        <v>722</v>
      </c>
      <c r="Y49" s="588" t="s">
        <v>161</v>
      </c>
      <c r="Z49" s="588" t="str">
        <f t="shared" si="0"/>
        <v/>
      </c>
      <c r="AA49" s="592" t="s">
        <v>6</v>
      </c>
      <c r="AB49" s="597" t="str">
        <f t="shared" si="1"/>
        <v/>
      </c>
      <c r="AC49" s="602" t="str">
        <f>IFERROR(ROUNDDOWN(ROUNDDOWN(ROUND(L49*VLOOKUP(K49,'【参考】数式用'!$A$2:$M$57,MATCH("処遇改善加算Ⅳ",'【参考】数式用'!$G$3:$M$3,0)+6,0),0)*M49,0)*Z49*0.5,0),"")</f>
        <v/>
      </c>
      <c r="AD49" s="608"/>
      <c r="AE49" s="616"/>
      <c r="AF49" s="616"/>
      <c r="AG49" s="622"/>
      <c r="AH49" s="625"/>
      <c r="AI49" s="706"/>
      <c r="AJ49" s="632"/>
      <c r="AK49" s="647" t="str">
        <f t="shared" si="2"/>
        <v/>
      </c>
      <c r="AL49" s="650" t="str">
        <f t="shared" si="3"/>
        <v/>
      </c>
      <c r="AM49" s="653"/>
      <c r="AN49" s="708" t="str">
        <f>IFERROR(VLOOKUP(K49,'【参考】数式用'!$A$2:$N$57,14,FALSE),"")</f>
        <v/>
      </c>
      <c r="AO49" s="708" t="str">
        <f t="shared" si="4"/>
        <v/>
      </c>
      <c r="AP49" s="710" t="str">
        <f t="shared" si="5"/>
        <v/>
      </c>
      <c r="AQ49" s="710" t="str">
        <f t="shared" si="6"/>
        <v>キャリアパス要件Ⅰ・Ⅱ_</v>
      </c>
      <c r="AR49" s="661" t="str">
        <f t="shared" si="7"/>
        <v>入力済</v>
      </c>
      <c r="AS49" s="708" t="str">
        <f t="shared" si="8"/>
        <v/>
      </c>
      <c r="AT49" s="661" t="str">
        <f t="shared" si="9"/>
        <v>入力済</v>
      </c>
      <c r="AU49" s="661" t="str">
        <f t="shared" si="10"/>
        <v/>
      </c>
      <c r="AV49" s="661" t="str">
        <f t="shared" si="11"/>
        <v/>
      </c>
      <c r="AW49" s="708" t="str">
        <f t="shared" si="12"/>
        <v/>
      </c>
      <c r="AX49" s="708" t="str">
        <f t="shared" si="13"/>
        <v>入力済</v>
      </c>
      <c r="AY49" s="661" t="str">
        <f>IFERROR(VLOOKUP(K49,'【参考】数式用'!$AR$3:$AS$49,2,FALSE),"")</f>
        <v/>
      </c>
      <c r="AZ49" s="708" t="str">
        <f t="shared" si="14"/>
        <v/>
      </c>
      <c r="BA49" s="656" t="str">
        <f t="shared" si="15"/>
        <v>入力済</v>
      </c>
      <c r="BB49" s="661" t="str">
        <f>IFERROR(VLOOKUP(K49,'【参考】数式用'!$AX$3:$AY$56,2,FALSE),"")</f>
        <v/>
      </c>
      <c r="BC49" s="708" t="str">
        <f t="shared" si="16"/>
        <v/>
      </c>
      <c r="BD49" s="656" t="str">
        <f t="shared" si="17"/>
        <v>入力済</v>
      </c>
      <c r="BE49" s="656" t="str">
        <f t="shared" si="18"/>
        <v/>
      </c>
      <c r="BF49" s="656" t="str">
        <f t="shared" si="19"/>
        <v/>
      </c>
      <c r="BG49" s="656" t="str">
        <f t="shared" si="20"/>
        <v/>
      </c>
      <c r="BH49" s="656" t="str">
        <f t="shared" si="21"/>
        <v/>
      </c>
      <c r="BI49" s="656" t="str">
        <f t="shared" si="22"/>
        <v/>
      </c>
      <c r="BM49" s="680" t="e">
        <f>VLOOKUP(K49,'【参考】数式用'!$A$2:$O$57,15,FALSE)</f>
        <v>#N/A</v>
      </c>
    </row>
    <row r="50" spans="1:65"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IF(AND(基本情報入力シート!AG78="",基本情報入力シート!AG78=""),"",基本情報入力シート!AG78)</f>
        <v/>
      </c>
      <c r="N50" s="569"/>
      <c r="O50" s="574" t="str">
        <f>IFERROR(VLOOKUP(K50,'【参考】数式用'!$A$2:$M$57,MATCH(N50,'【参考】数式用'!$G$3:$M$3,0)+6,0),"")</f>
        <v/>
      </c>
      <c r="P50" s="581" t="s">
        <v>543</v>
      </c>
      <c r="Q50" s="586"/>
      <c r="R50" s="588" t="s">
        <v>75</v>
      </c>
      <c r="S50" s="586"/>
      <c r="T50" s="588" t="s">
        <v>159</v>
      </c>
      <c r="U50" s="586"/>
      <c r="V50" s="588" t="s">
        <v>75</v>
      </c>
      <c r="W50" s="586"/>
      <c r="X50" s="588" t="s">
        <v>722</v>
      </c>
      <c r="Y50" s="588" t="s">
        <v>161</v>
      </c>
      <c r="Z50" s="588" t="str">
        <f t="shared" si="0"/>
        <v/>
      </c>
      <c r="AA50" s="592" t="s">
        <v>6</v>
      </c>
      <c r="AB50" s="597" t="str">
        <f t="shared" si="1"/>
        <v/>
      </c>
      <c r="AC50" s="602" t="str">
        <f>IFERROR(ROUNDDOWN(ROUNDDOWN(ROUND(L50*VLOOKUP(K50,'【参考】数式用'!$A$2:$M$57,MATCH("処遇改善加算Ⅳ",'【参考】数式用'!$G$3:$M$3,0)+6,0),0)*M50,0)*Z50*0.5,0),"")</f>
        <v/>
      </c>
      <c r="AD50" s="608"/>
      <c r="AE50" s="616"/>
      <c r="AF50" s="616"/>
      <c r="AG50" s="622"/>
      <c r="AH50" s="625"/>
      <c r="AI50" s="706"/>
      <c r="AJ50" s="632"/>
      <c r="AK50" s="647" t="str">
        <f t="shared" si="2"/>
        <v/>
      </c>
      <c r="AL50" s="650" t="str">
        <f t="shared" si="3"/>
        <v/>
      </c>
      <c r="AM50" s="653"/>
      <c r="AN50" s="708" t="str">
        <f>IFERROR(VLOOKUP(K50,'【参考】数式用'!$A$2:$N$57,14,FALSE),"")</f>
        <v/>
      </c>
      <c r="AO50" s="708" t="str">
        <f t="shared" si="4"/>
        <v/>
      </c>
      <c r="AP50" s="710" t="str">
        <f t="shared" si="5"/>
        <v/>
      </c>
      <c r="AQ50" s="710" t="str">
        <f t="shared" si="6"/>
        <v>キャリアパス要件Ⅰ・Ⅱ_</v>
      </c>
      <c r="AR50" s="661" t="str">
        <f t="shared" si="7"/>
        <v>入力済</v>
      </c>
      <c r="AS50" s="708" t="str">
        <f t="shared" si="8"/>
        <v/>
      </c>
      <c r="AT50" s="661" t="str">
        <f t="shared" si="9"/>
        <v>入力済</v>
      </c>
      <c r="AU50" s="661" t="str">
        <f t="shared" si="10"/>
        <v/>
      </c>
      <c r="AV50" s="661" t="str">
        <f t="shared" si="11"/>
        <v/>
      </c>
      <c r="AW50" s="708" t="str">
        <f t="shared" si="12"/>
        <v/>
      </c>
      <c r="AX50" s="708" t="str">
        <f t="shared" si="13"/>
        <v>入力済</v>
      </c>
      <c r="AY50" s="661" t="str">
        <f>IFERROR(VLOOKUP(K50,'【参考】数式用'!$AR$3:$AS$49,2,FALSE),"")</f>
        <v/>
      </c>
      <c r="AZ50" s="708" t="str">
        <f t="shared" si="14"/>
        <v/>
      </c>
      <c r="BA50" s="656" t="str">
        <f t="shared" si="15"/>
        <v>入力済</v>
      </c>
      <c r="BB50" s="661" t="str">
        <f>IFERROR(VLOOKUP(K50,'【参考】数式用'!$AX$3:$AY$56,2,FALSE),"")</f>
        <v/>
      </c>
      <c r="BC50" s="708" t="str">
        <f t="shared" si="16"/>
        <v/>
      </c>
      <c r="BD50" s="656" t="str">
        <f t="shared" si="17"/>
        <v>入力済</v>
      </c>
      <c r="BE50" s="656" t="str">
        <f t="shared" si="18"/>
        <v/>
      </c>
      <c r="BF50" s="656" t="str">
        <f t="shared" si="19"/>
        <v/>
      </c>
      <c r="BG50" s="656" t="str">
        <f t="shared" si="20"/>
        <v/>
      </c>
      <c r="BH50" s="656" t="str">
        <f t="shared" si="21"/>
        <v/>
      </c>
      <c r="BI50" s="656" t="str">
        <f t="shared" si="22"/>
        <v/>
      </c>
      <c r="BM50" s="680" t="e">
        <f>VLOOKUP(K50,'【参考】数式用'!$A$2:$O$57,15,FALSE)</f>
        <v>#N/A</v>
      </c>
    </row>
    <row r="51" spans="1:65"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IF(AND(基本情報入力シート!AG79="",基本情報入力シート!AG79=""),"",基本情報入力シート!AG79)</f>
        <v/>
      </c>
      <c r="N51" s="569"/>
      <c r="O51" s="574" t="str">
        <f>IFERROR(VLOOKUP(K51,'【参考】数式用'!$A$2:$M$57,MATCH(N51,'【参考】数式用'!$G$3:$M$3,0)+6,0),"")</f>
        <v/>
      </c>
      <c r="P51" s="581" t="s">
        <v>543</v>
      </c>
      <c r="Q51" s="586"/>
      <c r="R51" s="588" t="s">
        <v>75</v>
      </c>
      <c r="S51" s="586"/>
      <c r="T51" s="588" t="s">
        <v>159</v>
      </c>
      <c r="U51" s="586"/>
      <c r="V51" s="588" t="s">
        <v>75</v>
      </c>
      <c r="W51" s="586"/>
      <c r="X51" s="588" t="s">
        <v>722</v>
      </c>
      <c r="Y51" s="588" t="s">
        <v>161</v>
      </c>
      <c r="Z51" s="588" t="str">
        <f t="shared" si="0"/>
        <v/>
      </c>
      <c r="AA51" s="592" t="s">
        <v>6</v>
      </c>
      <c r="AB51" s="597" t="str">
        <f t="shared" si="1"/>
        <v/>
      </c>
      <c r="AC51" s="602" t="str">
        <f>IFERROR(ROUNDDOWN(ROUNDDOWN(ROUND(L51*VLOOKUP(K51,'【参考】数式用'!$A$2:$M$57,MATCH("処遇改善加算Ⅳ",'【参考】数式用'!$G$3:$M$3,0)+6,0),0)*M51,0)*Z51*0.5,0),"")</f>
        <v/>
      </c>
      <c r="AD51" s="608"/>
      <c r="AE51" s="616"/>
      <c r="AF51" s="616"/>
      <c r="AG51" s="622"/>
      <c r="AH51" s="625"/>
      <c r="AI51" s="706"/>
      <c r="AJ51" s="632"/>
      <c r="AK51" s="647" t="str">
        <f t="shared" si="2"/>
        <v/>
      </c>
      <c r="AL51" s="650" t="str">
        <f t="shared" si="3"/>
        <v/>
      </c>
      <c r="AM51" s="653"/>
      <c r="AN51" s="708" t="str">
        <f>IFERROR(VLOOKUP(K51,'【参考】数式用'!$A$2:$N$57,14,FALSE),"")</f>
        <v/>
      </c>
      <c r="AO51" s="708" t="str">
        <f t="shared" si="4"/>
        <v/>
      </c>
      <c r="AP51" s="710" t="str">
        <f t="shared" si="5"/>
        <v/>
      </c>
      <c r="AQ51" s="710" t="str">
        <f t="shared" si="6"/>
        <v>キャリアパス要件Ⅰ・Ⅱ_</v>
      </c>
      <c r="AR51" s="661" t="str">
        <f t="shared" si="7"/>
        <v>入力済</v>
      </c>
      <c r="AS51" s="708" t="str">
        <f t="shared" si="8"/>
        <v/>
      </c>
      <c r="AT51" s="661" t="str">
        <f t="shared" si="9"/>
        <v>入力済</v>
      </c>
      <c r="AU51" s="661" t="str">
        <f t="shared" si="10"/>
        <v/>
      </c>
      <c r="AV51" s="661" t="str">
        <f t="shared" si="11"/>
        <v/>
      </c>
      <c r="AW51" s="708" t="str">
        <f t="shared" si="12"/>
        <v/>
      </c>
      <c r="AX51" s="708" t="str">
        <f t="shared" si="13"/>
        <v>入力済</v>
      </c>
      <c r="AY51" s="661" t="str">
        <f>IFERROR(VLOOKUP(K51,'【参考】数式用'!$AR$3:$AS$49,2,FALSE),"")</f>
        <v/>
      </c>
      <c r="AZ51" s="708" t="str">
        <f t="shared" si="14"/>
        <v/>
      </c>
      <c r="BA51" s="656" t="str">
        <f t="shared" si="15"/>
        <v>入力済</v>
      </c>
      <c r="BB51" s="661" t="str">
        <f>IFERROR(VLOOKUP(K51,'【参考】数式用'!$AX$3:$AY$56,2,FALSE),"")</f>
        <v/>
      </c>
      <c r="BC51" s="708" t="str">
        <f t="shared" si="16"/>
        <v/>
      </c>
      <c r="BD51" s="656" t="str">
        <f t="shared" si="17"/>
        <v>入力済</v>
      </c>
      <c r="BE51" s="656" t="str">
        <f t="shared" si="18"/>
        <v/>
      </c>
      <c r="BF51" s="656" t="str">
        <f t="shared" si="19"/>
        <v/>
      </c>
      <c r="BG51" s="656" t="str">
        <f t="shared" si="20"/>
        <v/>
      </c>
      <c r="BH51" s="656" t="str">
        <f t="shared" si="21"/>
        <v/>
      </c>
      <c r="BI51" s="656" t="str">
        <f t="shared" si="22"/>
        <v/>
      </c>
      <c r="BM51" s="680" t="e">
        <f>VLOOKUP(K51,'【参考】数式用'!$A$2:$O$57,15,FALSE)</f>
        <v>#N/A</v>
      </c>
    </row>
    <row r="52" spans="1:65"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IF(AND(基本情報入力シート!AG80="",基本情報入力シート!AG80=""),"",基本情報入力シート!AG80)</f>
        <v/>
      </c>
      <c r="N52" s="569"/>
      <c r="O52" s="574" t="str">
        <f>IFERROR(VLOOKUP(K52,'【参考】数式用'!$A$2:$M$57,MATCH(N52,'【参考】数式用'!$G$3:$M$3,0)+6,0),"")</f>
        <v/>
      </c>
      <c r="P52" s="581" t="s">
        <v>543</v>
      </c>
      <c r="Q52" s="586"/>
      <c r="R52" s="588" t="s">
        <v>75</v>
      </c>
      <c r="S52" s="586"/>
      <c r="T52" s="588" t="s">
        <v>159</v>
      </c>
      <c r="U52" s="586"/>
      <c r="V52" s="588" t="s">
        <v>75</v>
      </c>
      <c r="W52" s="586"/>
      <c r="X52" s="588" t="s">
        <v>10</v>
      </c>
      <c r="Y52" s="588" t="s">
        <v>161</v>
      </c>
      <c r="Z52" s="588" t="str">
        <f t="shared" si="0"/>
        <v/>
      </c>
      <c r="AA52" s="592" t="s">
        <v>6</v>
      </c>
      <c r="AB52" s="597" t="str">
        <f t="shared" si="1"/>
        <v/>
      </c>
      <c r="AC52" s="602" t="str">
        <f>IFERROR(ROUNDDOWN(ROUNDDOWN(ROUND(L52*VLOOKUP(K52,'【参考】数式用'!$A$2:$M$57,MATCH("処遇改善加算Ⅳ",'【参考】数式用'!$G$3:$M$3,0)+6,0),0)*M52,0)*Z52*0.5,0),"")</f>
        <v/>
      </c>
      <c r="AD52" s="608"/>
      <c r="AE52" s="616"/>
      <c r="AF52" s="616"/>
      <c r="AG52" s="622"/>
      <c r="AH52" s="625"/>
      <c r="AI52" s="706"/>
      <c r="AJ52" s="632"/>
      <c r="AK52" s="647" t="str">
        <f t="shared" si="2"/>
        <v/>
      </c>
      <c r="AL52" s="650" t="str">
        <f t="shared" si="3"/>
        <v/>
      </c>
      <c r="AM52" s="653"/>
      <c r="AN52" s="708" t="str">
        <f>IFERROR(VLOOKUP(K52,'【参考】数式用'!$A$2:$N$57,14,FALSE),"")</f>
        <v/>
      </c>
      <c r="AO52" s="708" t="str">
        <f t="shared" si="4"/>
        <v/>
      </c>
      <c r="AP52" s="710" t="str">
        <f t="shared" si="5"/>
        <v/>
      </c>
      <c r="AQ52" s="710" t="str">
        <f t="shared" si="6"/>
        <v>キャリアパス要件Ⅰ・Ⅱ_</v>
      </c>
      <c r="AR52" s="661" t="str">
        <f t="shared" si="7"/>
        <v>入力済</v>
      </c>
      <c r="AS52" s="708" t="str">
        <f t="shared" si="8"/>
        <v/>
      </c>
      <c r="AT52" s="661" t="str">
        <f t="shared" si="9"/>
        <v>入力済</v>
      </c>
      <c r="AU52" s="661" t="str">
        <f t="shared" si="10"/>
        <v/>
      </c>
      <c r="AV52" s="661" t="str">
        <f t="shared" si="11"/>
        <v/>
      </c>
      <c r="AW52" s="708" t="str">
        <f t="shared" si="12"/>
        <v/>
      </c>
      <c r="AX52" s="708" t="str">
        <f t="shared" si="13"/>
        <v>入力済</v>
      </c>
      <c r="AY52" s="661" t="str">
        <f>IFERROR(VLOOKUP(K52,'【参考】数式用'!$AR$3:$AS$49,2,FALSE),"")</f>
        <v/>
      </c>
      <c r="AZ52" s="708" t="str">
        <f t="shared" si="14"/>
        <v/>
      </c>
      <c r="BA52" s="656" t="str">
        <f t="shared" si="15"/>
        <v>入力済</v>
      </c>
      <c r="BB52" s="661" t="str">
        <f>IFERROR(VLOOKUP(K52,'【参考】数式用'!$AX$3:$AY$56,2,FALSE),"")</f>
        <v/>
      </c>
      <c r="BC52" s="708" t="str">
        <f t="shared" si="16"/>
        <v/>
      </c>
      <c r="BD52" s="656" t="str">
        <f t="shared" si="17"/>
        <v>入力済</v>
      </c>
      <c r="BE52" s="656" t="str">
        <f t="shared" si="18"/>
        <v/>
      </c>
      <c r="BF52" s="656" t="str">
        <f t="shared" si="19"/>
        <v/>
      </c>
      <c r="BG52" s="656" t="str">
        <f t="shared" si="20"/>
        <v/>
      </c>
      <c r="BH52" s="656" t="str">
        <f t="shared" si="21"/>
        <v/>
      </c>
      <c r="BI52" s="656" t="str">
        <f t="shared" si="22"/>
        <v/>
      </c>
      <c r="BM52" s="680" t="e">
        <f>VLOOKUP(K52,'【参考】数式用'!$A$2:$O$57,15,FALSE)</f>
        <v>#N/A</v>
      </c>
    </row>
    <row r="53" spans="1:65"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IF(AND(基本情報入力シート!AG81="",基本情報入力シート!AG81=""),"",基本情報入力シート!AG81)</f>
        <v/>
      </c>
      <c r="N53" s="569"/>
      <c r="O53" s="574" t="str">
        <f>IFERROR(VLOOKUP(K53,'【参考】数式用'!$A$2:$M$57,MATCH(N53,'【参考】数式用'!$G$3:$M$3,0)+6,0),"")</f>
        <v/>
      </c>
      <c r="P53" s="581" t="s">
        <v>543</v>
      </c>
      <c r="Q53" s="586"/>
      <c r="R53" s="588" t="s">
        <v>75</v>
      </c>
      <c r="S53" s="586"/>
      <c r="T53" s="588" t="s">
        <v>159</v>
      </c>
      <c r="U53" s="586"/>
      <c r="V53" s="588" t="s">
        <v>75</v>
      </c>
      <c r="W53" s="586"/>
      <c r="X53" s="588" t="s">
        <v>10</v>
      </c>
      <c r="Y53" s="588" t="s">
        <v>161</v>
      </c>
      <c r="Z53" s="588" t="str">
        <f t="shared" si="0"/>
        <v/>
      </c>
      <c r="AA53" s="592" t="s">
        <v>6</v>
      </c>
      <c r="AB53" s="597" t="str">
        <f t="shared" si="1"/>
        <v/>
      </c>
      <c r="AC53" s="602" t="str">
        <f>IFERROR(ROUNDDOWN(ROUNDDOWN(ROUND(L53*VLOOKUP(K53,'【参考】数式用'!$A$2:$M$57,MATCH("処遇改善加算Ⅳ",'【参考】数式用'!$G$3:$M$3,0)+6,0),0)*M53,0)*Z53*0.5,0),"")</f>
        <v/>
      </c>
      <c r="AD53" s="608"/>
      <c r="AE53" s="616"/>
      <c r="AF53" s="616"/>
      <c r="AG53" s="622"/>
      <c r="AH53" s="625"/>
      <c r="AI53" s="706"/>
      <c r="AJ53" s="632"/>
      <c r="AK53" s="647" t="str">
        <f t="shared" si="2"/>
        <v/>
      </c>
      <c r="AL53" s="650" t="str">
        <f t="shared" si="3"/>
        <v/>
      </c>
      <c r="AM53" s="653"/>
      <c r="AN53" s="708" t="str">
        <f>IFERROR(VLOOKUP(K53,'【参考】数式用'!$A$2:$N$57,14,FALSE),"")</f>
        <v/>
      </c>
      <c r="AO53" s="708" t="str">
        <f t="shared" si="4"/>
        <v/>
      </c>
      <c r="AP53" s="710" t="str">
        <f t="shared" si="5"/>
        <v/>
      </c>
      <c r="AQ53" s="710" t="str">
        <f t="shared" si="6"/>
        <v>キャリアパス要件Ⅰ・Ⅱ_</v>
      </c>
      <c r="AR53" s="661" t="str">
        <f t="shared" si="7"/>
        <v>入力済</v>
      </c>
      <c r="AS53" s="708" t="str">
        <f t="shared" si="8"/>
        <v/>
      </c>
      <c r="AT53" s="661" t="str">
        <f t="shared" si="9"/>
        <v>入力済</v>
      </c>
      <c r="AU53" s="661" t="str">
        <f t="shared" si="10"/>
        <v/>
      </c>
      <c r="AV53" s="661" t="str">
        <f t="shared" si="11"/>
        <v/>
      </c>
      <c r="AW53" s="708" t="str">
        <f t="shared" si="12"/>
        <v/>
      </c>
      <c r="AX53" s="708" t="str">
        <f t="shared" si="13"/>
        <v>入力済</v>
      </c>
      <c r="AY53" s="661" t="str">
        <f>IFERROR(VLOOKUP(K53,'【参考】数式用'!$AR$3:$AS$49,2,FALSE),"")</f>
        <v/>
      </c>
      <c r="AZ53" s="708" t="str">
        <f t="shared" si="14"/>
        <v/>
      </c>
      <c r="BA53" s="656" t="str">
        <f t="shared" si="15"/>
        <v>入力済</v>
      </c>
      <c r="BB53" s="661" t="str">
        <f>IFERROR(VLOOKUP(K53,'【参考】数式用'!$AX$3:$AY$56,2,FALSE),"")</f>
        <v/>
      </c>
      <c r="BC53" s="708" t="str">
        <f t="shared" si="16"/>
        <v/>
      </c>
      <c r="BD53" s="656" t="str">
        <f t="shared" si="17"/>
        <v>入力済</v>
      </c>
      <c r="BE53" s="656" t="str">
        <f t="shared" si="18"/>
        <v/>
      </c>
      <c r="BF53" s="656" t="str">
        <f t="shared" si="19"/>
        <v/>
      </c>
      <c r="BG53" s="656" t="str">
        <f t="shared" si="20"/>
        <v/>
      </c>
      <c r="BH53" s="656" t="str">
        <f t="shared" si="21"/>
        <v/>
      </c>
      <c r="BI53" s="656" t="str">
        <f t="shared" si="22"/>
        <v/>
      </c>
      <c r="BM53" s="680" t="e">
        <f>VLOOKUP(K53,'【参考】数式用'!$A$2:$O$57,15,FALSE)</f>
        <v>#N/A</v>
      </c>
    </row>
    <row r="54" spans="1:65"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IF(AND(基本情報入力シート!AG82="",基本情報入力シート!AG82=""),"",基本情報入力シート!AG82)</f>
        <v/>
      </c>
      <c r="N54" s="569"/>
      <c r="O54" s="574" t="str">
        <f>IFERROR(VLOOKUP(K54,'【参考】数式用'!$A$2:$M$57,MATCH(N54,'【参考】数式用'!$G$3:$M$3,0)+6,0),"")</f>
        <v/>
      </c>
      <c r="P54" s="581" t="s">
        <v>543</v>
      </c>
      <c r="Q54" s="586"/>
      <c r="R54" s="588" t="s">
        <v>75</v>
      </c>
      <c r="S54" s="586"/>
      <c r="T54" s="588" t="s">
        <v>159</v>
      </c>
      <c r="U54" s="586"/>
      <c r="V54" s="588" t="s">
        <v>75</v>
      </c>
      <c r="W54" s="586"/>
      <c r="X54" s="588" t="s">
        <v>722</v>
      </c>
      <c r="Y54" s="588" t="s">
        <v>161</v>
      </c>
      <c r="Z54" s="588" t="str">
        <f t="shared" si="0"/>
        <v/>
      </c>
      <c r="AA54" s="592" t="s">
        <v>6</v>
      </c>
      <c r="AB54" s="597" t="str">
        <f t="shared" si="1"/>
        <v/>
      </c>
      <c r="AC54" s="602" t="str">
        <f>IFERROR(ROUNDDOWN(ROUNDDOWN(ROUND(L54*VLOOKUP(K54,'【参考】数式用'!$A$2:$M$57,MATCH("処遇改善加算Ⅳ",'【参考】数式用'!$G$3:$M$3,0)+6,0),0)*M54,0)*Z54*0.5,0),"")</f>
        <v/>
      </c>
      <c r="AD54" s="608"/>
      <c r="AE54" s="616"/>
      <c r="AF54" s="616"/>
      <c r="AG54" s="622"/>
      <c r="AH54" s="625"/>
      <c r="AI54" s="706"/>
      <c r="AJ54" s="632"/>
      <c r="AK54" s="647" t="str">
        <f t="shared" si="2"/>
        <v/>
      </c>
      <c r="AL54" s="650" t="str">
        <f t="shared" si="3"/>
        <v/>
      </c>
      <c r="AM54" s="653"/>
      <c r="AN54" s="708" t="str">
        <f>IFERROR(VLOOKUP(K54,'【参考】数式用'!$A$2:$N$57,14,FALSE),"")</f>
        <v/>
      </c>
      <c r="AO54" s="708" t="str">
        <f t="shared" si="4"/>
        <v/>
      </c>
      <c r="AP54" s="710" t="str">
        <f t="shared" si="5"/>
        <v/>
      </c>
      <c r="AQ54" s="710" t="str">
        <f t="shared" si="6"/>
        <v>キャリアパス要件Ⅰ・Ⅱ_</v>
      </c>
      <c r="AR54" s="661" t="str">
        <f t="shared" si="7"/>
        <v>入力済</v>
      </c>
      <c r="AS54" s="708" t="str">
        <f t="shared" si="8"/>
        <v/>
      </c>
      <c r="AT54" s="661" t="str">
        <f t="shared" si="9"/>
        <v>入力済</v>
      </c>
      <c r="AU54" s="661" t="str">
        <f t="shared" si="10"/>
        <v/>
      </c>
      <c r="AV54" s="661" t="str">
        <f t="shared" si="11"/>
        <v/>
      </c>
      <c r="AW54" s="708" t="str">
        <f t="shared" si="12"/>
        <v/>
      </c>
      <c r="AX54" s="708" t="str">
        <f t="shared" si="13"/>
        <v>入力済</v>
      </c>
      <c r="AY54" s="661" t="str">
        <f>IFERROR(VLOOKUP(K54,'【参考】数式用'!$AR$3:$AS$49,2,FALSE),"")</f>
        <v/>
      </c>
      <c r="AZ54" s="708" t="str">
        <f t="shared" si="14"/>
        <v/>
      </c>
      <c r="BA54" s="656" t="str">
        <f t="shared" si="15"/>
        <v>入力済</v>
      </c>
      <c r="BB54" s="661" t="str">
        <f>IFERROR(VLOOKUP(K54,'【参考】数式用'!$AX$3:$AY$56,2,FALSE),"")</f>
        <v/>
      </c>
      <c r="BC54" s="708" t="str">
        <f t="shared" si="16"/>
        <v/>
      </c>
      <c r="BD54" s="656" t="str">
        <f t="shared" si="17"/>
        <v>入力済</v>
      </c>
      <c r="BE54" s="656" t="str">
        <f t="shared" si="18"/>
        <v/>
      </c>
      <c r="BF54" s="656" t="str">
        <f t="shared" si="19"/>
        <v/>
      </c>
      <c r="BG54" s="656" t="str">
        <f t="shared" si="20"/>
        <v/>
      </c>
      <c r="BH54" s="656" t="str">
        <f t="shared" si="21"/>
        <v/>
      </c>
      <c r="BI54" s="656" t="str">
        <f t="shared" si="22"/>
        <v/>
      </c>
      <c r="BM54" s="680" t="e">
        <f>VLOOKUP(K54,'【参考】数式用'!$A$2:$O$57,15,FALSE)</f>
        <v>#N/A</v>
      </c>
    </row>
    <row r="55" spans="1:65"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IF(AND(基本情報入力シート!AG83="",基本情報入力シート!AG83=""),"",基本情報入力シート!AG83)</f>
        <v/>
      </c>
      <c r="N55" s="569"/>
      <c r="O55" s="574" t="str">
        <f>IFERROR(VLOOKUP(K55,'【参考】数式用'!$A$2:$M$57,MATCH(N55,'【参考】数式用'!$G$3:$M$3,0)+6,0),"")</f>
        <v/>
      </c>
      <c r="P55" s="581" t="s">
        <v>543</v>
      </c>
      <c r="Q55" s="586"/>
      <c r="R55" s="588" t="s">
        <v>75</v>
      </c>
      <c r="S55" s="586"/>
      <c r="T55" s="588" t="s">
        <v>159</v>
      </c>
      <c r="U55" s="586"/>
      <c r="V55" s="588" t="s">
        <v>75</v>
      </c>
      <c r="W55" s="586"/>
      <c r="X55" s="588" t="s">
        <v>722</v>
      </c>
      <c r="Y55" s="588" t="s">
        <v>161</v>
      </c>
      <c r="Z55" s="588" t="str">
        <f t="shared" si="0"/>
        <v/>
      </c>
      <c r="AA55" s="592" t="s">
        <v>6</v>
      </c>
      <c r="AB55" s="597" t="str">
        <f t="shared" si="1"/>
        <v/>
      </c>
      <c r="AC55" s="602" t="str">
        <f>IFERROR(ROUNDDOWN(ROUNDDOWN(ROUND(L55*VLOOKUP(K55,'【参考】数式用'!$A$2:$M$57,MATCH("処遇改善加算Ⅳ",'【参考】数式用'!$G$3:$M$3,0)+6,0),0)*M55,0)*Z55*0.5,0),"")</f>
        <v/>
      </c>
      <c r="AD55" s="608"/>
      <c r="AE55" s="616"/>
      <c r="AF55" s="616"/>
      <c r="AG55" s="622"/>
      <c r="AH55" s="625"/>
      <c r="AI55" s="706"/>
      <c r="AJ55" s="632"/>
      <c r="AK55" s="647" t="str">
        <f t="shared" si="2"/>
        <v/>
      </c>
      <c r="AL55" s="650" t="str">
        <f t="shared" si="3"/>
        <v/>
      </c>
      <c r="AM55" s="653"/>
      <c r="AN55" s="708" t="str">
        <f>IFERROR(VLOOKUP(K55,'【参考】数式用'!$A$2:$N$57,14,FALSE),"")</f>
        <v/>
      </c>
      <c r="AO55" s="708" t="str">
        <f t="shared" si="4"/>
        <v/>
      </c>
      <c r="AP55" s="710" t="str">
        <f t="shared" si="5"/>
        <v/>
      </c>
      <c r="AQ55" s="710" t="str">
        <f t="shared" si="6"/>
        <v>キャリアパス要件Ⅰ・Ⅱ_</v>
      </c>
      <c r="AR55" s="661" t="str">
        <f t="shared" si="7"/>
        <v>入力済</v>
      </c>
      <c r="AS55" s="708" t="str">
        <f t="shared" si="8"/>
        <v/>
      </c>
      <c r="AT55" s="661" t="str">
        <f t="shared" si="9"/>
        <v>入力済</v>
      </c>
      <c r="AU55" s="661" t="str">
        <f t="shared" si="10"/>
        <v/>
      </c>
      <c r="AV55" s="661" t="str">
        <f t="shared" si="11"/>
        <v/>
      </c>
      <c r="AW55" s="708" t="str">
        <f t="shared" si="12"/>
        <v/>
      </c>
      <c r="AX55" s="708" t="str">
        <f t="shared" si="13"/>
        <v>入力済</v>
      </c>
      <c r="AY55" s="661" t="str">
        <f>IFERROR(VLOOKUP(K55,'【参考】数式用'!$AR$3:$AS$49,2,FALSE),"")</f>
        <v/>
      </c>
      <c r="AZ55" s="708" t="str">
        <f t="shared" si="14"/>
        <v/>
      </c>
      <c r="BA55" s="656" t="str">
        <f t="shared" si="15"/>
        <v>入力済</v>
      </c>
      <c r="BB55" s="661" t="str">
        <f>IFERROR(VLOOKUP(K55,'【参考】数式用'!$AX$3:$AY$56,2,FALSE),"")</f>
        <v/>
      </c>
      <c r="BC55" s="708" t="str">
        <f t="shared" si="16"/>
        <v/>
      </c>
      <c r="BD55" s="656" t="str">
        <f t="shared" si="17"/>
        <v>入力済</v>
      </c>
      <c r="BE55" s="656" t="str">
        <f t="shared" si="18"/>
        <v/>
      </c>
      <c r="BF55" s="656" t="str">
        <f t="shared" si="19"/>
        <v/>
      </c>
      <c r="BG55" s="656" t="str">
        <f t="shared" si="20"/>
        <v/>
      </c>
      <c r="BH55" s="656" t="str">
        <f t="shared" si="21"/>
        <v/>
      </c>
      <c r="BI55" s="656" t="str">
        <f t="shared" si="22"/>
        <v/>
      </c>
      <c r="BM55" s="680" t="e">
        <f>VLOOKUP(K55,'【参考】数式用'!$A$2:$O$57,15,FALSE)</f>
        <v>#N/A</v>
      </c>
    </row>
    <row r="56" spans="1:65"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IF(AND(基本情報入力シート!AG84="",基本情報入力シート!AG84=""),"",基本情報入力シート!AG84)</f>
        <v/>
      </c>
      <c r="N56" s="569"/>
      <c r="O56" s="574" t="str">
        <f>IFERROR(VLOOKUP(K56,'【参考】数式用'!$A$2:$M$57,MATCH(N56,'【参考】数式用'!$G$3:$M$3,0)+6,0),"")</f>
        <v/>
      </c>
      <c r="P56" s="581" t="s">
        <v>543</v>
      </c>
      <c r="Q56" s="586"/>
      <c r="R56" s="588" t="s">
        <v>75</v>
      </c>
      <c r="S56" s="586"/>
      <c r="T56" s="588" t="s">
        <v>159</v>
      </c>
      <c r="U56" s="586"/>
      <c r="V56" s="588" t="s">
        <v>75</v>
      </c>
      <c r="W56" s="586"/>
      <c r="X56" s="588" t="s">
        <v>722</v>
      </c>
      <c r="Y56" s="588" t="s">
        <v>161</v>
      </c>
      <c r="Z56" s="588" t="str">
        <f t="shared" si="0"/>
        <v/>
      </c>
      <c r="AA56" s="592" t="s">
        <v>6</v>
      </c>
      <c r="AB56" s="597" t="str">
        <f t="shared" si="1"/>
        <v/>
      </c>
      <c r="AC56" s="602" t="str">
        <f>IFERROR(ROUNDDOWN(ROUNDDOWN(ROUND(L56*VLOOKUP(K56,'【参考】数式用'!$A$2:$M$57,MATCH("処遇改善加算Ⅳ",'【参考】数式用'!$G$3:$M$3,0)+6,0),0)*M56,0)*Z56*0.5,0),"")</f>
        <v/>
      </c>
      <c r="AD56" s="608"/>
      <c r="AE56" s="616"/>
      <c r="AF56" s="616"/>
      <c r="AG56" s="622"/>
      <c r="AH56" s="625"/>
      <c r="AI56" s="706"/>
      <c r="AJ56" s="632"/>
      <c r="AK56" s="647" t="str">
        <f t="shared" si="2"/>
        <v/>
      </c>
      <c r="AL56" s="650" t="str">
        <f t="shared" si="3"/>
        <v/>
      </c>
      <c r="AM56" s="653"/>
      <c r="AN56" s="708" t="str">
        <f>IFERROR(VLOOKUP(K56,'【参考】数式用'!$A$2:$N$57,14,FALSE),"")</f>
        <v/>
      </c>
      <c r="AO56" s="708" t="str">
        <f t="shared" si="4"/>
        <v/>
      </c>
      <c r="AP56" s="710" t="str">
        <f t="shared" si="5"/>
        <v/>
      </c>
      <c r="AQ56" s="710" t="str">
        <f t="shared" si="6"/>
        <v>キャリアパス要件Ⅰ・Ⅱ_</v>
      </c>
      <c r="AR56" s="661" t="str">
        <f t="shared" si="7"/>
        <v>入力済</v>
      </c>
      <c r="AS56" s="708" t="str">
        <f t="shared" si="8"/>
        <v/>
      </c>
      <c r="AT56" s="661" t="str">
        <f t="shared" si="9"/>
        <v>入力済</v>
      </c>
      <c r="AU56" s="661" t="str">
        <f t="shared" si="10"/>
        <v/>
      </c>
      <c r="AV56" s="661" t="str">
        <f t="shared" si="11"/>
        <v/>
      </c>
      <c r="AW56" s="708" t="str">
        <f t="shared" si="12"/>
        <v/>
      </c>
      <c r="AX56" s="708" t="str">
        <f t="shared" si="13"/>
        <v>入力済</v>
      </c>
      <c r="AY56" s="661" t="str">
        <f>IFERROR(VLOOKUP(K56,'【参考】数式用'!$AR$3:$AS$49,2,FALSE),"")</f>
        <v/>
      </c>
      <c r="AZ56" s="708" t="str">
        <f t="shared" si="14"/>
        <v/>
      </c>
      <c r="BA56" s="656" t="str">
        <f t="shared" si="15"/>
        <v>入力済</v>
      </c>
      <c r="BB56" s="661" t="str">
        <f>IFERROR(VLOOKUP(K56,'【参考】数式用'!$AX$3:$AY$56,2,FALSE),"")</f>
        <v/>
      </c>
      <c r="BC56" s="708" t="str">
        <f t="shared" si="16"/>
        <v/>
      </c>
      <c r="BD56" s="656" t="str">
        <f t="shared" si="17"/>
        <v>入力済</v>
      </c>
      <c r="BE56" s="656" t="str">
        <f t="shared" si="18"/>
        <v/>
      </c>
      <c r="BF56" s="656" t="str">
        <f t="shared" si="19"/>
        <v/>
      </c>
      <c r="BG56" s="656" t="str">
        <f t="shared" si="20"/>
        <v/>
      </c>
      <c r="BH56" s="656" t="str">
        <f t="shared" si="21"/>
        <v/>
      </c>
      <c r="BI56" s="656" t="str">
        <f t="shared" si="22"/>
        <v/>
      </c>
      <c r="BM56" s="680" t="e">
        <f>VLOOKUP(K56,'【参考】数式用'!$A$2:$O$57,15,FALSE)</f>
        <v>#N/A</v>
      </c>
    </row>
    <row r="57" spans="1:65"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IF(AND(基本情報入力シート!AG85="",基本情報入力シート!AG85=""),"",基本情報入力シート!AG85)</f>
        <v/>
      </c>
      <c r="N57" s="569"/>
      <c r="O57" s="574" t="str">
        <f>IFERROR(VLOOKUP(K57,'【参考】数式用'!$A$2:$M$57,MATCH(N57,'【参考】数式用'!$G$3:$M$3,0)+6,0),"")</f>
        <v/>
      </c>
      <c r="P57" s="581" t="s">
        <v>543</v>
      </c>
      <c r="Q57" s="586"/>
      <c r="R57" s="588" t="s">
        <v>75</v>
      </c>
      <c r="S57" s="586"/>
      <c r="T57" s="588" t="s">
        <v>159</v>
      </c>
      <c r="U57" s="586"/>
      <c r="V57" s="588" t="s">
        <v>75</v>
      </c>
      <c r="W57" s="586"/>
      <c r="X57" s="588" t="s">
        <v>10</v>
      </c>
      <c r="Y57" s="588" t="s">
        <v>161</v>
      </c>
      <c r="Z57" s="588" t="str">
        <f t="shared" si="0"/>
        <v/>
      </c>
      <c r="AA57" s="592" t="s">
        <v>6</v>
      </c>
      <c r="AB57" s="597" t="str">
        <f t="shared" si="1"/>
        <v/>
      </c>
      <c r="AC57" s="602" t="str">
        <f>IFERROR(ROUNDDOWN(ROUNDDOWN(ROUND(L57*VLOOKUP(K57,'【参考】数式用'!$A$2:$M$57,MATCH("処遇改善加算Ⅳ",'【参考】数式用'!$G$3:$M$3,0)+6,0),0)*M57,0)*Z57*0.5,0),"")</f>
        <v/>
      </c>
      <c r="AD57" s="608"/>
      <c r="AE57" s="616"/>
      <c r="AF57" s="616"/>
      <c r="AG57" s="622"/>
      <c r="AH57" s="625"/>
      <c r="AI57" s="706"/>
      <c r="AJ57" s="632"/>
      <c r="AK57" s="647" t="str">
        <f t="shared" si="2"/>
        <v/>
      </c>
      <c r="AL57" s="650" t="str">
        <f t="shared" si="3"/>
        <v/>
      </c>
      <c r="AM57" s="653"/>
      <c r="AN57" s="708" t="str">
        <f>IFERROR(VLOOKUP(K57,'【参考】数式用'!$A$2:$N$57,14,FALSE),"")</f>
        <v/>
      </c>
      <c r="AO57" s="708" t="str">
        <f t="shared" si="4"/>
        <v/>
      </c>
      <c r="AP57" s="710" t="str">
        <f t="shared" si="5"/>
        <v/>
      </c>
      <c r="AQ57" s="710" t="str">
        <f t="shared" si="6"/>
        <v>キャリアパス要件Ⅰ・Ⅱ_</v>
      </c>
      <c r="AR57" s="661" t="str">
        <f t="shared" si="7"/>
        <v>入力済</v>
      </c>
      <c r="AS57" s="708" t="str">
        <f t="shared" si="8"/>
        <v/>
      </c>
      <c r="AT57" s="661" t="str">
        <f t="shared" si="9"/>
        <v>入力済</v>
      </c>
      <c r="AU57" s="661" t="str">
        <f t="shared" si="10"/>
        <v/>
      </c>
      <c r="AV57" s="661" t="str">
        <f t="shared" si="11"/>
        <v/>
      </c>
      <c r="AW57" s="708" t="str">
        <f t="shared" si="12"/>
        <v/>
      </c>
      <c r="AX57" s="708" t="str">
        <f t="shared" si="13"/>
        <v>入力済</v>
      </c>
      <c r="AY57" s="661" t="str">
        <f>IFERROR(VLOOKUP(K57,'【参考】数式用'!$AR$3:$AS$49,2,FALSE),"")</f>
        <v/>
      </c>
      <c r="AZ57" s="708" t="str">
        <f t="shared" si="14"/>
        <v/>
      </c>
      <c r="BA57" s="656" t="str">
        <f t="shared" si="15"/>
        <v>入力済</v>
      </c>
      <c r="BB57" s="661" t="str">
        <f>IFERROR(VLOOKUP(K57,'【参考】数式用'!$AX$3:$AY$56,2,FALSE),"")</f>
        <v/>
      </c>
      <c r="BC57" s="708" t="str">
        <f t="shared" si="16"/>
        <v/>
      </c>
      <c r="BD57" s="656" t="str">
        <f t="shared" si="17"/>
        <v>入力済</v>
      </c>
      <c r="BE57" s="656" t="str">
        <f t="shared" si="18"/>
        <v/>
      </c>
      <c r="BF57" s="656" t="str">
        <f t="shared" si="19"/>
        <v/>
      </c>
      <c r="BG57" s="656" t="str">
        <f t="shared" si="20"/>
        <v/>
      </c>
      <c r="BH57" s="656" t="str">
        <f t="shared" si="21"/>
        <v/>
      </c>
      <c r="BI57" s="656" t="str">
        <f t="shared" si="22"/>
        <v/>
      </c>
      <c r="BM57" s="680" t="e">
        <f>VLOOKUP(K57,'【参考】数式用'!$A$2:$O$57,15,FALSE)</f>
        <v>#N/A</v>
      </c>
    </row>
    <row r="58" spans="1:65"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IF(AND(基本情報入力シート!AG86="",基本情報入力シート!AG86=""),"",基本情報入力シート!AG86)</f>
        <v/>
      </c>
      <c r="N58" s="569"/>
      <c r="O58" s="574" t="str">
        <f>IFERROR(VLOOKUP(K58,'【参考】数式用'!$A$2:$M$57,MATCH(N58,'【参考】数式用'!$G$3:$M$3,0)+6,0),"")</f>
        <v/>
      </c>
      <c r="P58" s="581" t="s">
        <v>543</v>
      </c>
      <c r="Q58" s="586"/>
      <c r="R58" s="588" t="s">
        <v>75</v>
      </c>
      <c r="S58" s="586"/>
      <c r="T58" s="588" t="s">
        <v>159</v>
      </c>
      <c r="U58" s="586"/>
      <c r="V58" s="588" t="s">
        <v>75</v>
      </c>
      <c r="W58" s="586"/>
      <c r="X58" s="588" t="s">
        <v>722</v>
      </c>
      <c r="Y58" s="588" t="s">
        <v>161</v>
      </c>
      <c r="Z58" s="588" t="str">
        <f t="shared" si="0"/>
        <v/>
      </c>
      <c r="AA58" s="592" t="s">
        <v>6</v>
      </c>
      <c r="AB58" s="597" t="str">
        <f t="shared" si="1"/>
        <v/>
      </c>
      <c r="AC58" s="602" t="str">
        <f>IFERROR(ROUNDDOWN(ROUNDDOWN(ROUND(L58*VLOOKUP(K58,'【参考】数式用'!$A$2:$M$57,MATCH("処遇改善加算Ⅳ",'【参考】数式用'!$G$3:$M$3,0)+6,0),0)*M58,0)*Z58*0.5,0),"")</f>
        <v/>
      </c>
      <c r="AD58" s="608"/>
      <c r="AE58" s="616"/>
      <c r="AF58" s="616"/>
      <c r="AG58" s="622"/>
      <c r="AH58" s="625"/>
      <c r="AI58" s="706"/>
      <c r="AJ58" s="632"/>
      <c r="AK58" s="647" t="str">
        <f t="shared" si="2"/>
        <v/>
      </c>
      <c r="AL58" s="650" t="str">
        <f t="shared" si="3"/>
        <v/>
      </c>
      <c r="AM58" s="653"/>
      <c r="AN58" s="708" t="str">
        <f>IFERROR(VLOOKUP(K58,'【参考】数式用'!$A$2:$N$57,14,FALSE),"")</f>
        <v/>
      </c>
      <c r="AO58" s="708" t="str">
        <f t="shared" si="4"/>
        <v/>
      </c>
      <c r="AP58" s="710" t="str">
        <f t="shared" si="5"/>
        <v/>
      </c>
      <c r="AQ58" s="710" t="str">
        <f t="shared" si="6"/>
        <v>キャリアパス要件Ⅰ・Ⅱ_</v>
      </c>
      <c r="AR58" s="661" t="str">
        <f t="shared" si="7"/>
        <v>入力済</v>
      </c>
      <c r="AS58" s="708" t="str">
        <f t="shared" si="8"/>
        <v/>
      </c>
      <c r="AT58" s="661" t="str">
        <f t="shared" si="9"/>
        <v>入力済</v>
      </c>
      <c r="AU58" s="661" t="str">
        <f t="shared" si="10"/>
        <v/>
      </c>
      <c r="AV58" s="661" t="str">
        <f t="shared" si="11"/>
        <v/>
      </c>
      <c r="AW58" s="708" t="str">
        <f t="shared" si="12"/>
        <v/>
      </c>
      <c r="AX58" s="708" t="str">
        <f t="shared" si="13"/>
        <v>入力済</v>
      </c>
      <c r="AY58" s="661" t="str">
        <f>IFERROR(VLOOKUP(K58,'【参考】数式用'!$AR$3:$AS$49,2,FALSE),"")</f>
        <v/>
      </c>
      <c r="AZ58" s="708" t="str">
        <f t="shared" si="14"/>
        <v/>
      </c>
      <c r="BA58" s="656" t="str">
        <f t="shared" si="15"/>
        <v>入力済</v>
      </c>
      <c r="BB58" s="661" t="str">
        <f>IFERROR(VLOOKUP(K58,'【参考】数式用'!$AX$3:$AY$56,2,FALSE),"")</f>
        <v/>
      </c>
      <c r="BC58" s="708" t="str">
        <f t="shared" si="16"/>
        <v/>
      </c>
      <c r="BD58" s="656" t="str">
        <f t="shared" si="17"/>
        <v>入力済</v>
      </c>
      <c r="BE58" s="656" t="str">
        <f t="shared" si="18"/>
        <v/>
      </c>
      <c r="BF58" s="656" t="str">
        <f t="shared" si="19"/>
        <v/>
      </c>
      <c r="BG58" s="656" t="str">
        <f t="shared" si="20"/>
        <v/>
      </c>
      <c r="BH58" s="656" t="str">
        <f t="shared" si="21"/>
        <v/>
      </c>
      <c r="BI58" s="656" t="str">
        <f t="shared" si="22"/>
        <v/>
      </c>
      <c r="BM58" s="680" t="e">
        <f>VLOOKUP(K58,'【参考】数式用'!$A$2:$O$57,15,FALSE)</f>
        <v>#N/A</v>
      </c>
    </row>
    <row r="59" spans="1:65"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IF(AND(基本情報入力シート!AG87="",基本情報入力シート!AG87=""),"",基本情報入力シート!AG87)</f>
        <v/>
      </c>
      <c r="N59" s="569"/>
      <c r="O59" s="574" t="str">
        <f>IFERROR(VLOOKUP(K59,'【参考】数式用'!$A$2:$M$57,MATCH(N59,'【参考】数式用'!$G$3:$M$3,0)+6,0),"")</f>
        <v/>
      </c>
      <c r="P59" s="581" t="s">
        <v>543</v>
      </c>
      <c r="Q59" s="586"/>
      <c r="R59" s="588" t="s">
        <v>75</v>
      </c>
      <c r="S59" s="586"/>
      <c r="T59" s="588" t="s">
        <v>159</v>
      </c>
      <c r="U59" s="586"/>
      <c r="V59" s="588" t="s">
        <v>75</v>
      </c>
      <c r="W59" s="586"/>
      <c r="X59" s="588" t="s">
        <v>722</v>
      </c>
      <c r="Y59" s="588" t="s">
        <v>161</v>
      </c>
      <c r="Z59" s="588" t="str">
        <f t="shared" si="0"/>
        <v/>
      </c>
      <c r="AA59" s="592" t="s">
        <v>6</v>
      </c>
      <c r="AB59" s="597" t="str">
        <f t="shared" si="1"/>
        <v/>
      </c>
      <c r="AC59" s="602" t="str">
        <f>IFERROR(ROUNDDOWN(ROUNDDOWN(ROUND(L59*VLOOKUP(K59,'【参考】数式用'!$A$2:$M$57,MATCH("処遇改善加算Ⅳ",'【参考】数式用'!$G$3:$M$3,0)+6,0),0)*M59,0)*Z59*0.5,0),"")</f>
        <v/>
      </c>
      <c r="AD59" s="608"/>
      <c r="AE59" s="616"/>
      <c r="AF59" s="616"/>
      <c r="AG59" s="622"/>
      <c r="AH59" s="625"/>
      <c r="AI59" s="706"/>
      <c r="AJ59" s="632"/>
      <c r="AK59" s="647" t="str">
        <f t="shared" si="2"/>
        <v/>
      </c>
      <c r="AL59" s="650" t="str">
        <f t="shared" si="3"/>
        <v/>
      </c>
      <c r="AM59" s="653"/>
      <c r="AN59" s="708" t="str">
        <f>IFERROR(VLOOKUP(K59,'【参考】数式用'!$A$2:$N$57,14,FALSE),"")</f>
        <v/>
      </c>
      <c r="AO59" s="708" t="str">
        <f t="shared" si="4"/>
        <v/>
      </c>
      <c r="AP59" s="710" t="str">
        <f t="shared" si="5"/>
        <v/>
      </c>
      <c r="AQ59" s="710" t="str">
        <f t="shared" si="6"/>
        <v>キャリアパス要件Ⅰ・Ⅱ_</v>
      </c>
      <c r="AR59" s="661" t="str">
        <f t="shared" si="7"/>
        <v>入力済</v>
      </c>
      <c r="AS59" s="708" t="str">
        <f t="shared" si="8"/>
        <v/>
      </c>
      <c r="AT59" s="661" t="str">
        <f t="shared" si="9"/>
        <v>入力済</v>
      </c>
      <c r="AU59" s="661" t="str">
        <f t="shared" si="10"/>
        <v/>
      </c>
      <c r="AV59" s="661" t="str">
        <f t="shared" si="11"/>
        <v/>
      </c>
      <c r="AW59" s="708" t="str">
        <f t="shared" si="12"/>
        <v/>
      </c>
      <c r="AX59" s="708" t="str">
        <f t="shared" si="13"/>
        <v>入力済</v>
      </c>
      <c r="AY59" s="661" t="str">
        <f>IFERROR(VLOOKUP(K59,'【参考】数式用'!$AR$3:$AS$49,2,FALSE),"")</f>
        <v/>
      </c>
      <c r="AZ59" s="708" t="str">
        <f t="shared" si="14"/>
        <v/>
      </c>
      <c r="BA59" s="656" t="str">
        <f t="shared" si="15"/>
        <v>入力済</v>
      </c>
      <c r="BB59" s="661" t="str">
        <f>IFERROR(VLOOKUP(K59,'【参考】数式用'!$AX$3:$AY$56,2,FALSE),"")</f>
        <v/>
      </c>
      <c r="BC59" s="708" t="str">
        <f t="shared" si="16"/>
        <v/>
      </c>
      <c r="BD59" s="656" t="str">
        <f t="shared" si="17"/>
        <v>入力済</v>
      </c>
      <c r="BE59" s="656" t="str">
        <f t="shared" si="18"/>
        <v/>
      </c>
      <c r="BF59" s="656" t="str">
        <f t="shared" si="19"/>
        <v/>
      </c>
      <c r="BG59" s="656" t="str">
        <f t="shared" si="20"/>
        <v/>
      </c>
      <c r="BH59" s="656" t="str">
        <f t="shared" si="21"/>
        <v/>
      </c>
      <c r="BI59" s="656" t="str">
        <f t="shared" si="22"/>
        <v/>
      </c>
      <c r="BM59" s="680" t="e">
        <f>VLOOKUP(K59,'【参考】数式用'!$A$2:$O$57,15,FALSE)</f>
        <v>#N/A</v>
      </c>
    </row>
    <row r="60" spans="1:65"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IF(AND(基本情報入力シート!AG88="",基本情報入力シート!AG88=""),"",基本情報入力シート!AG88)</f>
        <v/>
      </c>
      <c r="N60" s="569"/>
      <c r="O60" s="574" t="str">
        <f>IFERROR(VLOOKUP(K60,'【参考】数式用'!$A$2:$M$57,MATCH(N60,'【参考】数式用'!$G$3:$M$3,0)+6,0),"")</f>
        <v/>
      </c>
      <c r="P60" s="581" t="s">
        <v>543</v>
      </c>
      <c r="Q60" s="586"/>
      <c r="R60" s="588" t="s">
        <v>75</v>
      </c>
      <c r="S60" s="586"/>
      <c r="T60" s="588" t="s">
        <v>159</v>
      </c>
      <c r="U60" s="586"/>
      <c r="V60" s="588" t="s">
        <v>75</v>
      </c>
      <c r="W60" s="586"/>
      <c r="X60" s="588" t="s">
        <v>722</v>
      </c>
      <c r="Y60" s="588" t="s">
        <v>161</v>
      </c>
      <c r="Z60" s="588" t="str">
        <f t="shared" si="0"/>
        <v/>
      </c>
      <c r="AA60" s="592" t="s">
        <v>6</v>
      </c>
      <c r="AB60" s="597" t="str">
        <f t="shared" si="1"/>
        <v/>
      </c>
      <c r="AC60" s="602" t="str">
        <f>IFERROR(ROUNDDOWN(ROUNDDOWN(ROUND(L60*VLOOKUP(K60,'【参考】数式用'!$A$2:$M$57,MATCH("処遇改善加算Ⅳ",'【参考】数式用'!$G$3:$M$3,0)+6,0),0)*M60,0)*Z60*0.5,0),"")</f>
        <v/>
      </c>
      <c r="AD60" s="608"/>
      <c r="AE60" s="616"/>
      <c r="AF60" s="616"/>
      <c r="AG60" s="622"/>
      <c r="AH60" s="625"/>
      <c r="AI60" s="706"/>
      <c r="AJ60" s="632"/>
      <c r="AK60" s="647" t="str">
        <f t="shared" si="2"/>
        <v/>
      </c>
      <c r="AL60" s="650" t="str">
        <f t="shared" si="3"/>
        <v/>
      </c>
      <c r="AM60" s="653"/>
      <c r="AN60" s="708" t="str">
        <f>IFERROR(VLOOKUP(K60,'【参考】数式用'!$A$2:$N$57,14,FALSE),"")</f>
        <v/>
      </c>
      <c r="AO60" s="708" t="str">
        <f t="shared" si="4"/>
        <v/>
      </c>
      <c r="AP60" s="710" t="str">
        <f t="shared" si="5"/>
        <v/>
      </c>
      <c r="AQ60" s="710" t="str">
        <f t="shared" si="6"/>
        <v>キャリアパス要件Ⅰ・Ⅱ_</v>
      </c>
      <c r="AR60" s="661" t="str">
        <f t="shared" si="7"/>
        <v>入力済</v>
      </c>
      <c r="AS60" s="708" t="str">
        <f t="shared" si="8"/>
        <v/>
      </c>
      <c r="AT60" s="661" t="str">
        <f t="shared" si="9"/>
        <v>入力済</v>
      </c>
      <c r="AU60" s="661" t="str">
        <f t="shared" si="10"/>
        <v/>
      </c>
      <c r="AV60" s="661" t="str">
        <f t="shared" si="11"/>
        <v/>
      </c>
      <c r="AW60" s="708" t="str">
        <f t="shared" si="12"/>
        <v/>
      </c>
      <c r="AX60" s="708" t="str">
        <f t="shared" si="13"/>
        <v>入力済</v>
      </c>
      <c r="AY60" s="661" t="str">
        <f>IFERROR(VLOOKUP(K60,'【参考】数式用'!$AR$3:$AS$49,2,FALSE),"")</f>
        <v/>
      </c>
      <c r="AZ60" s="708" t="str">
        <f t="shared" si="14"/>
        <v/>
      </c>
      <c r="BA60" s="656" t="str">
        <f t="shared" si="15"/>
        <v>入力済</v>
      </c>
      <c r="BB60" s="661" t="str">
        <f>IFERROR(VLOOKUP(K60,'【参考】数式用'!$AX$3:$AY$56,2,FALSE),"")</f>
        <v/>
      </c>
      <c r="BC60" s="708" t="str">
        <f t="shared" si="16"/>
        <v/>
      </c>
      <c r="BD60" s="656" t="str">
        <f t="shared" si="17"/>
        <v>入力済</v>
      </c>
      <c r="BE60" s="656" t="str">
        <f t="shared" si="18"/>
        <v/>
      </c>
      <c r="BF60" s="656" t="str">
        <f t="shared" si="19"/>
        <v/>
      </c>
      <c r="BG60" s="656" t="str">
        <f t="shared" si="20"/>
        <v/>
      </c>
      <c r="BH60" s="656" t="str">
        <f t="shared" si="21"/>
        <v/>
      </c>
      <c r="BI60" s="656" t="str">
        <f t="shared" si="22"/>
        <v/>
      </c>
      <c r="BM60" s="680" t="e">
        <f>VLOOKUP(K60,'【参考】数式用'!$A$2:$O$57,15,FALSE)</f>
        <v>#N/A</v>
      </c>
    </row>
    <row r="61" spans="1:65"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IF(AND(基本情報入力シート!AG89="",基本情報入力シート!AG89=""),"",基本情報入力シート!AG89)</f>
        <v/>
      </c>
      <c r="N61" s="569"/>
      <c r="O61" s="574" t="str">
        <f>IFERROR(VLOOKUP(K61,'【参考】数式用'!$A$2:$M$57,MATCH(N61,'【参考】数式用'!$G$3:$M$3,0)+6,0),"")</f>
        <v/>
      </c>
      <c r="P61" s="581" t="s">
        <v>543</v>
      </c>
      <c r="Q61" s="586"/>
      <c r="R61" s="588" t="s">
        <v>75</v>
      </c>
      <c r="S61" s="586"/>
      <c r="T61" s="588" t="s">
        <v>159</v>
      </c>
      <c r="U61" s="586"/>
      <c r="V61" s="588" t="s">
        <v>75</v>
      </c>
      <c r="W61" s="586"/>
      <c r="X61" s="588" t="s">
        <v>10</v>
      </c>
      <c r="Y61" s="588" t="s">
        <v>161</v>
      </c>
      <c r="Z61" s="588" t="str">
        <f t="shared" si="0"/>
        <v/>
      </c>
      <c r="AA61" s="592" t="s">
        <v>6</v>
      </c>
      <c r="AB61" s="597" t="str">
        <f t="shared" si="1"/>
        <v/>
      </c>
      <c r="AC61" s="602" t="str">
        <f>IFERROR(ROUNDDOWN(ROUNDDOWN(ROUND(L61*VLOOKUP(K61,'【参考】数式用'!$A$2:$M$57,MATCH("処遇改善加算Ⅳ",'【参考】数式用'!$G$3:$M$3,0)+6,0),0)*M61,0)*Z61*0.5,0),"")</f>
        <v/>
      </c>
      <c r="AD61" s="608"/>
      <c r="AE61" s="616"/>
      <c r="AF61" s="616"/>
      <c r="AG61" s="622"/>
      <c r="AH61" s="625"/>
      <c r="AI61" s="706"/>
      <c r="AJ61" s="632"/>
      <c r="AK61" s="647" t="str">
        <f t="shared" si="2"/>
        <v/>
      </c>
      <c r="AL61" s="650" t="str">
        <f t="shared" si="3"/>
        <v/>
      </c>
      <c r="AM61" s="653"/>
      <c r="AN61" s="708" t="str">
        <f>IFERROR(VLOOKUP(K61,'【参考】数式用'!$A$2:$N$57,14,FALSE),"")</f>
        <v/>
      </c>
      <c r="AO61" s="708" t="str">
        <f t="shared" si="4"/>
        <v/>
      </c>
      <c r="AP61" s="710" t="str">
        <f t="shared" si="5"/>
        <v/>
      </c>
      <c r="AQ61" s="710" t="str">
        <f t="shared" si="6"/>
        <v>キャリアパス要件Ⅰ・Ⅱ_</v>
      </c>
      <c r="AR61" s="661" t="str">
        <f t="shared" si="7"/>
        <v>入力済</v>
      </c>
      <c r="AS61" s="708" t="str">
        <f t="shared" si="8"/>
        <v/>
      </c>
      <c r="AT61" s="661" t="str">
        <f t="shared" si="9"/>
        <v>入力済</v>
      </c>
      <c r="AU61" s="661" t="str">
        <f t="shared" si="10"/>
        <v/>
      </c>
      <c r="AV61" s="661" t="str">
        <f t="shared" si="11"/>
        <v/>
      </c>
      <c r="AW61" s="708" t="str">
        <f t="shared" si="12"/>
        <v/>
      </c>
      <c r="AX61" s="708" t="str">
        <f t="shared" si="13"/>
        <v>入力済</v>
      </c>
      <c r="AY61" s="661" t="str">
        <f>IFERROR(VLOOKUP(K61,'【参考】数式用'!$AR$3:$AS$49,2,FALSE),"")</f>
        <v/>
      </c>
      <c r="AZ61" s="708" t="str">
        <f t="shared" si="14"/>
        <v/>
      </c>
      <c r="BA61" s="656" t="str">
        <f t="shared" si="15"/>
        <v>入力済</v>
      </c>
      <c r="BB61" s="661" t="str">
        <f>IFERROR(VLOOKUP(K61,'【参考】数式用'!$AX$3:$AY$56,2,FALSE),"")</f>
        <v/>
      </c>
      <c r="BC61" s="708" t="str">
        <f t="shared" si="16"/>
        <v/>
      </c>
      <c r="BD61" s="656" t="str">
        <f t="shared" si="17"/>
        <v>入力済</v>
      </c>
      <c r="BE61" s="656" t="str">
        <f t="shared" si="18"/>
        <v/>
      </c>
      <c r="BF61" s="656" t="str">
        <f t="shared" si="19"/>
        <v/>
      </c>
      <c r="BG61" s="656" t="str">
        <f t="shared" si="20"/>
        <v/>
      </c>
      <c r="BH61" s="656" t="str">
        <f t="shared" si="21"/>
        <v/>
      </c>
      <c r="BI61" s="656" t="str">
        <f t="shared" si="22"/>
        <v/>
      </c>
      <c r="BM61" s="680" t="e">
        <f>VLOOKUP(K61,'【参考】数式用'!$A$2:$O$57,15,FALSE)</f>
        <v>#N/A</v>
      </c>
    </row>
    <row r="62" spans="1:65"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IF(AND(基本情報入力シート!AG90="",基本情報入力シート!AG90=""),"",基本情報入力シート!AG90)</f>
        <v/>
      </c>
      <c r="N62" s="569"/>
      <c r="O62" s="574" t="str">
        <f>IFERROR(VLOOKUP(K62,'【参考】数式用'!$A$2:$M$57,MATCH(N62,'【参考】数式用'!$G$3:$M$3,0)+6,0),"")</f>
        <v/>
      </c>
      <c r="P62" s="581" t="s">
        <v>543</v>
      </c>
      <c r="Q62" s="586"/>
      <c r="R62" s="588" t="s">
        <v>75</v>
      </c>
      <c r="S62" s="586"/>
      <c r="T62" s="588" t="s">
        <v>159</v>
      </c>
      <c r="U62" s="586"/>
      <c r="V62" s="588" t="s">
        <v>75</v>
      </c>
      <c r="W62" s="586"/>
      <c r="X62" s="588" t="s">
        <v>10</v>
      </c>
      <c r="Y62" s="588" t="s">
        <v>161</v>
      </c>
      <c r="Z62" s="588" t="str">
        <f t="shared" si="0"/>
        <v/>
      </c>
      <c r="AA62" s="592" t="s">
        <v>6</v>
      </c>
      <c r="AB62" s="597" t="str">
        <f t="shared" si="1"/>
        <v/>
      </c>
      <c r="AC62" s="602" t="str">
        <f>IFERROR(ROUNDDOWN(ROUNDDOWN(ROUND(L62*VLOOKUP(K62,'【参考】数式用'!$A$2:$M$57,MATCH("処遇改善加算Ⅳ",'【参考】数式用'!$G$3:$M$3,0)+6,0),0)*M62,0)*Z62*0.5,0),"")</f>
        <v/>
      </c>
      <c r="AD62" s="608"/>
      <c r="AE62" s="616"/>
      <c r="AF62" s="616"/>
      <c r="AG62" s="622"/>
      <c r="AH62" s="625"/>
      <c r="AI62" s="706"/>
      <c r="AJ62" s="632"/>
      <c r="AK62" s="647" t="str">
        <f t="shared" si="2"/>
        <v/>
      </c>
      <c r="AL62" s="650" t="str">
        <f t="shared" si="3"/>
        <v/>
      </c>
      <c r="AM62" s="653"/>
      <c r="AN62" s="708" t="str">
        <f>IFERROR(VLOOKUP(K62,'【参考】数式用'!$A$2:$N$57,14,FALSE),"")</f>
        <v/>
      </c>
      <c r="AO62" s="708" t="str">
        <f t="shared" si="4"/>
        <v/>
      </c>
      <c r="AP62" s="710" t="str">
        <f t="shared" si="5"/>
        <v/>
      </c>
      <c r="AQ62" s="710" t="str">
        <f t="shared" si="6"/>
        <v>キャリアパス要件Ⅰ・Ⅱ_</v>
      </c>
      <c r="AR62" s="661" t="str">
        <f t="shared" si="7"/>
        <v>入力済</v>
      </c>
      <c r="AS62" s="708" t="str">
        <f t="shared" si="8"/>
        <v/>
      </c>
      <c r="AT62" s="661" t="str">
        <f t="shared" si="9"/>
        <v>入力済</v>
      </c>
      <c r="AU62" s="661" t="str">
        <f t="shared" si="10"/>
        <v/>
      </c>
      <c r="AV62" s="661" t="str">
        <f t="shared" si="11"/>
        <v/>
      </c>
      <c r="AW62" s="708" t="str">
        <f t="shared" si="12"/>
        <v/>
      </c>
      <c r="AX62" s="708" t="str">
        <f t="shared" si="13"/>
        <v>入力済</v>
      </c>
      <c r="AY62" s="661" t="str">
        <f>IFERROR(VLOOKUP(K62,'【参考】数式用'!$AR$3:$AS$49,2,FALSE),"")</f>
        <v/>
      </c>
      <c r="AZ62" s="708" t="str">
        <f t="shared" si="14"/>
        <v/>
      </c>
      <c r="BA62" s="656" t="str">
        <f t="shared" si="15"/>
        <v>入力済</v>
      </c>
      <c r="BB62" s="661" t="str">
        <f>IFERROR(VLOOKUP(K62,'【参考】数式用'!$AX$3:$AY$56,2,FALSE),"")</f>
        <v/>
      </c>
      <c r="BC62" s="708" t="str">
        <f t="shared" si="16"/>
        <v/>
      </c>
      <c r="BD62" s="656" t="str">
        <f t="shared" si="17"/>
        <v>入力済</v>
      </c>
      <c r="BE62" s="656" t="str">
        <f t="shared" si="18"/>
        <v/>
      </c>
      <c r="BF62" s="656" t="str">
        <f t="shared" si="19"/>
        <v/>
      </c>
      <c r="BG62" s="656" t="str">
        <f t="shared" si="20"/>
        <v/>
      </c>
      <c r="BH62" s="656" t="str">
        <f t="shared" si="21"/>
        <v/>
      </c>
      <c r="BI62" s="656" t="str">
        <f t="shared" si="22"/>
        <v/>
      </c>
      <c r="BM62" s="680" t="e">
        <f>VLOOKUP(K62,'【参考】数式用'!$A$2:$O$57,15,FALSE)</f>
        <v>#N/A</v>
      </c>
    </row>
    <row r="63" spans="1:65"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IF(AND(基本情報入力シート!AG91="",基本情報入力シート!AG91=""),"",基本情報入力シート!AG91)</f>
        <v/>
      </c>
      <c r="N63" s="569"/>
      <c r="O63" s="574" t="str">
        <f>IFERROR(VLOOKUP(K63,'【参考】数式用'!$A$2:$M$57,MATCH(N63,'【参考】数式用'!$G$3:$M$3,0)+6,0),"")</f>
        <v/>
      </c>
      <c r="P63" s="581" t="s">
        <v>543</v>
      </c>
      <c r="Q63" s="586"/>
      <c r="R63" s="588" t="s">
        <v>75</v>
      </c>
      <c r="S63" s="586"/>
      <c r="T63" s="588" t="s">
        <v>159</v>
      </c>
      <c r="U63" s="586"/>
      <c r="V63" s="588" t="s">
        <v>75</v>
      </c>
      <c r="W63" s="586"/>
      <c r="X63" s="588" t="s">
        <v>722</v>
      </c>
      <c r="Y63" s="588" t="s">
        <v>161</v>
      </c>
      <c r="Z63" s="588" t="str">
        <f t="shared" si="0"/>
        <v/>
      </c>
      <c r="AA63" s="592" t="s">
        <v>6</v>
      </c>
      <c r="AB63" s="597" t="str">
        <f t="shared" si="1"/>
        <v/>
      </c>
      <c r="AC63" s="602" t="str">
        <f>IFERROR(ROUNDDOWN(ROUNDDOWN(ROUND(L63*VLOOKUP(K63,'【参考】数式用'!$A$2:$M$57,MATCH("処遇改善加算Ⅳ",'【参考】数式用'!$G$3:$M$3,0)+6,0),0)*M63,0)*Z63*0.5,0),"")</f>
        <v/>
      </c>
      <c r="AD63" s="608"/>
      <c r="AE63" s="616"/>
      <c r="AF63" s="616"/>
      <c r="AG63" s="622"/>
      <c r="AH63" s="625"/>
      <c r="AI63" s="706"/>
      <c r="AJ63" s="632"/>
      <c r="AK63" s="647" t="str">
        <f t="shared" si="2"/>
        <v/>
      </c>
      <c r="AL63" s="650" t="str">
        <f t="shared" si="3"/>
        <v/>
      </c>
      <c r="AM63" s="653"/>
      <c r="AN63" s="708" t="str">
        <f>IFERROR(VLOOKUP(K63,'【参考】数式用'!$A$2:$N$57,14,FALSE),"")</f>
        <v/>
      </c>
      <c r="AO63" s="708" t="str">
        <f t="shared" si="4"/>
        <v/>
      </c>
      <c r="AP63" s="710" t="str">
        <f t="shared" si="5"/>
        <v/>
      </c>
      <c r="AQ63" s="710" t="str">
        <f t="shared" si="6"/>
        <v>キャリアパス要件Ⅰ・Ⅱ_</v>
      </c>
      <c r="AR63" s="661" t="str">
        <f t="shared" si="7"/>
        <v>入力済</v>
      </c>
      <c r="AS63" s="708" t="str">
        <f t="shared" si="8"/>
        <v/>
      </c>
      <c r="AT63" s="661" t="str">
        <f t="shared" si="9"/>
        <v>入力済</v>
      </c>
      <c r="AU63" s="661" t="str">
        <f t="shared" si="10"/>
        <v/>
      </c>
      <c r="AV63" s="661" t="str">
        <f t="shared" si="11"/>
        <v/>
      </c>
      <c r="AW63" s="708" t="str">
        <f t="shared" si="12"/>
        <v/>
      </c>
      <c r="AX63" s="708" t="str">
        <f t="shared" si="13"/>
        <v>入力済</v>
      </c>
      <c r="AY63" s="661" t="str">
        <f>IFERROR(VLOOKUP(K63,'【参考】数式用'!$AR$3:$AS$49,2,FALSE),"")</f>
        <v/>
      </c>
      <c r="AZ63" s="708" t="str">
        <f t="shared" si="14"/>
        <v/>
      </c>
      <c r="BA63" s="656" t="str">
        <f t="shared" si="15"/>
        <v>入力済</v>
      </c>
      <c r="BB63" s="661" t="str">
        <f>IFERROR(VLOOKUP(K63,'【参考】数式用'!$AX$3:$AY$56,2,FALSE),"")</f>
        <v/>
      </c>
      <c r="BC63" s="708" t="str">
        <f t="shared" si="16"/>
        <v/>
      </c>
      <c r="BD63" s="656" t="str">
        <f t="shared" si="17"/>
        <v>入力済</v>
      </c>
      <c r="BE63" s="656" t="str">
        <f t="shared" si="18"/>
        <v/>
      </c>
      <c r="BF63" s="656" t="str">
        <f t="shared" si="19"/>
        <v/>
      </c>
      <c r="BG63" s="656" t="str">
        <f t="shared" si="20"/>
        <v/>
      </c>
      <c r="BH63" s="656" t="str">
        <f t="shared" si="21"/>
        <v/>
      </c>
      <c r="BI63" s="656" t="str">
        <f t="shared" si="22"/>
        <v/>
      </c>
      <c r="BM63" s="680" t="e">
        <f>VLOOKUP(K63,'【参考】数式用'!$A$2:$O$57,15,FALSE)</f>
        <v>#N/A</v>
      </c>
    </row>
    <row r="64" spans="1:65"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IF(AND(基本情報入力シート!AG92="",基本情報入力シート!AG92=""),"",基本情報入力シート!AG92)</f>
        <v/>
      </c>
      <c r="N64" s="569"/>
      <c r="O64" s="574" t="str">
        <f>IFERROR(VLOOKUP(K64,'【参考】数式用'!$A$2:$M$57,MATCH(N64,'【参考】数式用'!$G$3:$M$3,0)+6,0),"")</f>
        <v/>
      </c>
      <c r="P64" s="581" t="s">
        <v>543</v>
      </c>
      <c r="Q64" s="586"/>
      <c r="R64" s="588" t="s">
        <v>75</v>
      </c>
      <c r="S64" s="586"/>
      <c r="T64" s="588" t="s">
        <v>159</v>
      </c>
      <c r="U64" s="586"/>
      <c r="V64" s="588" t="s">
        <v>75</v>
      </c>
      <c r="W64" s="586"/>
      <c r="X64" s="588" t="s">
        <v>722</v>
      </c>
      <c r="Y64" s="588" t="s">
        <v>161</v>
      </c>
      <c r="Z64" s="588" t="str">
        <f t="shared" si="0"/>
        <v/>
      </c>
      <c r="AA64" s="592" t="s">
        <v>6</v>
      </c>
      <c r="AB64" s="597" t="str">
        <f t="shared" si="1"/>
        <v/>
      </c>
      <c r="AC64" s="602" t="str">
        <f>IFERROR(ROUNDDOWN(ROUNDDOWN(ROUND(L64*VLOOKUP(K64,'【参考】数式用'!$A$2:$M$57,MATCH("処遇改善加算Ⅳ",'【参考】数式用'!$G$3:$M$3,0)+6,0),0)*M64,0)*Z64*0.5,0),"")</f>
        <v/>
      </c>
      <c r="AD64" s="608"/>
      <c r="AE64" s="616"/>
      <c r="AF64" s="616"/>
      <c r="AG64" s="622"/>
      <c r="AH64" s="625"/>
      <c r="AI64" s="706"/>
      <c r="AJ64" s="632"/>
      <c r="AK64" s="647" t="str">
        <f t="shared" si="2"/>
        <v/>
      </c>
      <c r="AL64" s="650" t="str">
        <f t="shared" si="3"/>
        <v/>
      </c>
      <c r="AM64" s="653"/>
      <c r="AN64" s="708" t="str">
        <f>IFERROR(VLOOKUP(K64,'【参考】数式用'!$A$2:$N$57,14,FALSE),"")</f>
        <v/>
      </c>
      <c r="AO64" s="708" t="str">
        <f t="shared" si="4"/>
        <v/>
      </c>
      <c r="AP64" s="710" t="str">
        <f t="shared" si="5"/>
        <v/>
      </c>
      <c r="AQ64" s="710" t="str">
        <f t="shared" si="6"/>
        <v>キャリアパス要件Ⅰ・Ⅱ_</v>
      </c>
      <c r="AR64" s="661" t="str">
        <f t="shared" si="7"/>
        <v>入力済</v>
      </c>
      <c r="AS64" s="708" t="str">
        <f t="shared" si="8"/>
        <v/>
      </c>
      <c r="AT64" s="661" t="str">
        <f t="shared" si="9"/>
        <v>入力済</v>
      </c>
      <c r="AU64" s="661" t="str">
        <f t="shared" si="10"/>
        <v/>
      </c>
      <c r="AV64" s="661" t="str">
        <f t="shared" si="11"/>
        <v/>
      </c>
      <c r="AW64" s="708" t="str">
        <f t="shared" si="12"/>
        <v/>
      </c>
      <c r="AX64" s="708" t="str">
        <f t="shared" si="13"/>
        <v>入力済</v>
      </c>
      <c r="AY64" s="661" t="str">
        <f>IFERROR(VLOOKUP(K64,'【参考】数式用'!$AR$3:$AS$49,2,FALSE),"")</f>
        <v/>
      </c>
      <c r="AZ64" s="708" t="str">
        <f t="shared" si="14"/>
        <v/>
      </c>
      <c r="BA64" s="656" t="str">
        <f t="shared" si="15"/>
        <v>入力済</v>
      </c>
      <c r="BB64" s="661" t="str">
        <f>IFERROR(VLOOKUP(K64,'【参考】数式用'!$AX$3:$AY$56,2,FALSE),"")</f>
        <v/>
      </c>
      <c r="BC64" s="708" t="str">
        <f t="shared" si="16"/>
        <v/>
      </c>
      <c r="BD64" s="656" t="str">
        <f t="shared" si="17"/>
        <v>入力済</v>
      </c>
      <c r="BE64" s="656" t="str">
        <f t="shared" si="18"/>
        <v/>
      </c>
      <c r="BF64" s="656" t="str">
        <f t="shared" si="19"/>
        <v/>
      </c>
      <c r="BG64" s="656" t="str">
        <f t="shared" si="20"/>
        <v/>
      </c>
      <c r="BH64" s="656" t="str">
        <f t="shared" si="21"/>
        <v/>
      </c>
      <c r="BI64" s="656" t="str">
        <f t="shared" si="22"/>
        <v/>
      </c>
      <c r="BM64" s="680" t="e">
        <f>VLOOKUP(K64,'【参考】数式用'!$A$2:$O$57,15,FALSE)</f>
        <v>#N/A</v>
      </c>
    </row>
    <row r="65" spans="1:65"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IF(AND(基本情報入力シート!AG93="",基本情報入力シート!AG93=""),"",基本情報入力シート!AG93)</f>
        <v/>
      </c>
      <c r="N65" s="569"/>
      <c r="O65" s="574" t="str">
        <f>IFERROR(VLOOKUP(K65,'【参考】数式用'!$A$2:$M$57,MATCH(N65,'【参考】数式用'!$G$3:$M$3,0)+6,0),"")</f>
        <v/>
      </c>
      <c r="P65" s="581" t="s">
        <v>543</v>
      </c>
      <c r="Q65" s="586"/>
      <c r="R65" s="588" t="s">
        <v>75</v>
      </c>
      <c r="S65" s="586"/>
      <c r="T65" s="588" t="s">
        <v>159</v>
      </c>
      <c r="U65" s="586"/>
      <c r="V65" s="588" t="s">
        <v>75</v>
      </c>
      <c r="W65" s="586"/>
      <c r="X65" s="588" t="s">
        <v>722</v>
      </c>
      <c r="Y65" s="588" t="s">
        <v>161</v>
      </c>
      <c r="Z65" s="588" t="str">
        <f t="shared" si="0"/>
        <v/>
      </c>
      <c r="AA65" s="592" t="s">
        <v>6</v>
      </c>
      <c r="AB65" s="597" t="str">
        <f t="shared" si="1"/>
        <v/>
      </c>
      <c r="AC65" s="602" t="str">
        <f>IFERROR(ROUNDDOWN(ROUNDDOWN(ROUND(L65*VLOOKUP(K65,'【参考】数式用'!$A$2:$M$57,MATCH("処遇改善加算Ⅳ",'【参考】数式用'!$G$3:$M$3,0)+6,0),0)*M65,0)*Z65*0.5,0),"")</f>
        <v/>
      </c>
      <c r="AD65" s="608"/>
      <c r="AE65" s="616"/>
      <c r="AF65" s="616"/>
      <c r="AG65" s="622"/>
      <c r="AH65" s="625"/>
      <c r="AI65" s="706"/>
      <c r="AJ65" s="632"/>
      <c r="AK65" s="647" t="str">
        <f t="shared" si="2"/>
        <v/>
      </c>
      <c r="AL65" s="650" t="str">
        <f t="shared" si="3"/>
        <v/>
      </c>
      <c r="AM65" s="653"/>
      <c r="AN65" s="708" t="str">
        <f>IFERROR(VLOOKUP(K65,'【参考】数式用'!$A$2:$N$57,14,FALSE),"")</f>
        <v/>
      </c>
      <c r="AO65" s="708" t="str">
        <f t="shared" si="4"/>
        <v/>
      </c>
      <c r="AP65" s="710" t="str">
        <f t="shared" si="5"/>
        <v/>
      </c>
      <c r="AQ65" s="710" t="str">
        <f t="shared" si="6"/>
        <v>キャリアパス要件Ⅰ・Ⅱ_</v>
      </c>
      <c r="AR65" s="661" t="str">
        <f t="shared" si="7"/>
        <v>入力済</v>
      </c>
      <c r="AS65" s="708" t="str">
        <f t="shared" si="8"/>
        <v/>
      </c>
      <c r="AT65" s="661" t="str">
        <f t="shared" si="9"/>
        <v>入力済</v>
      </c>
      <c r="AU65" s="661" t="str">
        <f t="shared" si="10"/>
        <v/>
      </c>
      <c r="AV65" s="661" t="str">
        <f t="shared" si="11"/>
        <v/>
      </c>
      <c r="AW65" s="708" t="str">
        <f t="shared" si="12"/>
        <v/>
      </c>
      <c r="AX65" s="708" t="str">
        <f t="shared" si="13"/>
        <v>入力済</v>
      </c>
      <c r="AY65" s="661" t="str">
        <f>IFERROR(VLOOKUP(K65,'【参考】数式用'!$AR$3:$AS$49,2,FALSE),"")</f>
        <v/>
      </c>
      <c r="AZ65" s="708" t="str">
        <f t="shared" si="14"/>
        <v/>
      </c>
      <c r="BA65" s="656" t="str">
        <f t="shared" si="15"/>
        <v>入力済</v>
      </c>
      <c r="BB65" s="661" t="str">
        <f>IFERROR(VLOOKUP(K65,'【参考】数式用'!$AX$3:$AY$56,2,FALSE),"")</f>
        <v/>
      </c>
      <c r="BC65" s="708" t="str">
        <f t="shared" si="16"/>
        <v/>
      </c>
      <c r="BD65" s="656" t="str">
        <f t="shared" si="17"/>
        <v>入力済</v>
      </c>
      <c r="BE65" s="656" t="str">
        <f t="shared" si="18"/>
        <v/>
      </c>
      <c r="BF65" s="656" t="str">
        <f t="shared" si="19"/>
        <v/>
      </c>
      <c r="BG65" s="656" t="str">
        <f t="shared" si="20"/>
        <v/>
      </c>
      <c r="BH65" s="656" t="str">
        <f t="shared" si="21"/>
        <v/>
      </c>
      <c r="BI65" s="656" t="str">
        <f t="shared" si="22"/>
        <v/>
      </c>
      <c r="BM65" s="680" t="e">
        <f>VLOOKUP(K65,'【参考】数式用'!$A$2:$O$57,15,FALSE)</f>
        <v>#N/A</v>
      </c>
    </row>
    <row r="66" spans="1:65"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IF(AND(基本情報入力シート!AG94="",基本情報入力シート!AG94=""),"",基本情報入力シート!AG94)</f>
        <v/>
      </c>
      <c r="N66" s="569"/>
      <c r="O66" s="574" t="str">
        <f>IFERROR(VLOOKUP(K66,'【参考】数式用'!$A$2:$M$57,MATCH(N66,'【参考】数式用'!$G$3:$M$3,0)+6,0),"")</f>
        <v/>
      </c>
      <c r="P66" s="581" t="s">
        <v>543</v>
      </c>
      <c r="Q66" s="586"/>
      <c r="R66" s="588" t="s">
        <v>75</v>
      </c>
      <c r="S66" s="586"/>
      <c r="T66" s="588" t="s">
        <v>159</v>
      </c>
      <c r="U66" s="586"/>
      <c r="V66" s="588" t="s">
        <v>75</v>
      </c>
      <c r="W66" s="586"/>
      <c r="X66" s="588" t="s">
        <v>10</v>
      </c>
      <c r="Y66" s="588" t="s">
        <v>161</v>
      </c>
      <c r="Z66" s="588" t="str">
        <f t="shared" si="0"/>
        <v/>
      </c>
      <c r="AA66" s="592" t="s">
        <v>6</v>
      </c>
      <c r="AB66" s="597" t="str">
        <f t="shared" si="1"/>
        <v/>
      </c>
      <c r="AC66" s="602" t="str">
        <f>IFERROR(ROUNDDOWN(ROUNDDOWN(ROUND(L66*VLOOKUP(K66,'【参考】数式用'!$A$2:$M$57,MATCH("処遇改善加算Ⅳ",'【参考】数式用'!$G$3:$M$3,0)+6,0),0)*M66,0)*Z66*0.5,0),"")</f>
        <v/>
      </c>
      <c r="AD66" s="608"/>
      <c r="AE66" s="616"/>
      <c r="AF66" s="616"/>
      <c r="AG66" s="622"/>
      <c r="AH66" s="625"/>
      <c r="AI66" s="706"/>
      <c r="AJ66" s="632"/>
      <c r="AK66" s="647" t="str">
        <f t="shared" si="2"/>
        <v/>
      </c>
      <c r="AL66" s="650" t="str">
        <f t="shared" si="3"/>
        <v/>
      </c>
      <c r="AM66" s="653"/>
      <c r="AN66" s="708" t="str">
        <f>IFERROR(VLOOKUP(K66,'【参考】数式用'!$A$2:$N$57,14,FALSE),"")</f>
        <v/>
      </c>
      <c r="AO66" s="708" t="str">
        <f t="shared" si="4"/>
        <v/>
      </c>
      <c r="AP66" s="710" t="str">
        <f t="shared" si="5"/>
        <v/>
      </c>
      <c r="AQ66" s="710" t="str">
        <f t="shared" si="6"/>
        <v>キャリアパス要件Ⅰ・Ⅱ_</v>
      </c>
      <c r="AR66" s="661" t="str">
        <f t="shared" si="7"/>
        <v>入力済</v>
      </c>
      <c r="AS66" s="708" t="str">
        <f t="shared" si="8"/>
        <v/>
      </c>
      <c r="AT66" s="661" t="str">
        <f t="shared" si="9"/>
        <v>入力済</v>
      </c>
      <c r="AU66" s="661" t="str">
        <f t="shared" si="10"/>
        <v/>
      </c>
      <c r="AV66" s="661" t="str">
        <f t="shared" si="11"/>
        <v/>
      </c>
      <c r="AW66" s="708" t="str">
        <f t="shared" si="12"/>
        <v/>
      </c>
      <c r="AX66" s="708" t="str">
        <f t="shared" si="13"/>
        <v>入力済</v>
      </c>
      <c r="AY66" s="661" t="str">
        <f>IFERROR(VLOOKUP(K66,'【参考】数式用'!$AR$3:$AS$49,2,FALSE),"")</f>
        <v/>
      </c>
      <c r="AZ66" s="708" t="str">
        <f t="shared" si="14"/>
        <v/>
      </c>
      <c r="BA66" s="656" t="str">
        <f t="shared" si="15"/>
        <v>入力済</v>
      </c>
      <c r="BB66" s="661" t="str">
        <f>IFERROR(VLOOKUP(K66,'【参考】数式用'!$AX$3:$AY$56,2,FALSE),"")</f>
        <v/>
      </c>
      <c r="BC66" s="708" t="str">
        <f t="shared" si="16"/>
        <v/>
      </c>
      <c r="BD66" s="656" t="str">
        <f t="shared" si="17"/>
        <v>入力済</v>
      </c>
      <c r="BE66" s="656" t="str">
        <f t="shared" si="18"/>
        <v/>
      </c>
      <c r="BF66" s="656" t="str">
        <f t="shared" si="19"/>
        <v/>
      </c>
      <c r="BG66" s="656" t="str">
        <f t="shared" si="20"/>
        <v/>
      </c>
      <c r="BH66" s="656" t="str">
        <f t="shared" si="21"/>
        <v/>
      </c>
      <c r="BI66" s="656" t="str">
        <f t="shared" si="22"/>
        <v/>
      </c>
      <c r="BM66" s="680" t="e">
        <f>VLOOKUP(K66,'【参考】数式用'!$A$2:$O$57,15,FALSE)</f>
        <v>#N/A</v>
      </c>
    </row>
    <row r="67" spans="1:65"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IF(AND(基本情報入力シート!AG95="",基本情報入力シート!AG95=""),"",基本情報入力シート!AG95)</f>
        <v/>
      </c>
      <c r="N67" s="569"/>
      <c r="O67" s="574" t="str">
        <f>IFERROR(VLOOKUP(K67,'【参考】数式用'!$A$2:$M$57,MATCH(N67,'【参考】数式用'!$G$3:$M$3,0)+6,0),"")</f>
        <v/>
      </c>
      <c r="P67" s="581" t="s">
        <v>543</v>
      </c>
      <c r="Q67" s="586"/>
      <c r="R67" s="588" t="s">
        <v>75</v>
      </c>
      <c r="S67" s="586"/>
      <c r="T67" s="588" t="s">
        <v>159</v>
      </c>
      <c r="U67" s="586"/>
      <c r="V67" s="588" t="s">
        <v>75</v>
      </c>
      <c r="W67" s="586"/>
      <c r="X67" s="588" t="s">
        <v>722</v>
      </c>
      <c r="Y67" s="588" t="s">
        <v>161</v>
      </c>
      <c r="Z67" s="588" t="str">
        <f t="shared" si="0"/>
        <v/>
      </c>
      <c r="AA67" s="592" t="s">
        <v>6</v>
      </c>
      <c r="AB67" s="597" t="str">
        <f t="shared" si="1"/>
        <v/>
      </c>
      <c r="AC67" s="602" t="str">
        <f>IFERROR(ROUNDDOWN(ROUNDDOWN(ROUND(L67*VLOOKUP(K67,'【参考】数式用'!$A$2:$M$57,MATCH("処遇改善加算Ⅳ",'【参考】数式用'!$G$3:$M$3,0)+6,0),0)*M67,0)*Z67*0.5,0),"")</f>
        <v/>
      </c>
      <c r="AD67" s="608"/>
      <c r="AE67" s="616"/>
      <c r="AF67" s="616"/>
      <c r="AG67" s="622"/>
      <c r="AH67" s="625"/>
      <c r="AI67" s="706"/>
      <c r="AJ67" s="632"/>
      <c r="AK67" s="647" t="str">
        <f t="shared" si="2"/>
        <v/>
      </c>
      <c r="AL67" s="650" t="str">
        <f t="shared" si="3"/>
        <v/>
      </c>
      <c r="AM67" s="653"/>
      <c r="AN67" s="708" t="str">
        <f>IFERROR(VLOOKUP(K67,'【参考】数式用'!$A$2:$N$57,14,FALSE),"")</f>
        <v/>
      </c>
      <c r="AO67" s="708" t="str">
        <f t="shared" si="4"/>
        <v/>
      </c>
      <c r="AP67" s="710" t="str">
        <f t="shared" si="5"/>
        <v/>
      </c>
      <c r="AQ67" s="710" t="str">
        <f t="shared" si="6"/>
        <v>キャリアパス要件Ⅰ・Ⅱ_</v>
      </c>
      <c r="AR67" s="661" t="str">
        <f t="shared" si="7"/>
        <v>入力済</v>
      </c>
      <c r="AS67" s="708" t="str">
        <f t="shared" si="8"/>
        <v/>
      </c>
      <c r="AT67" s="661" t="str">
        <f t="shared" si="9"/>
        <v>入力済</v>
      </c>
      <c r="AU67" s="661" t="str">
        <f t="shared" si="10"/>
        <v/>
      </c>
      <c r="AV67" s="661" t="str">
        <f t="shared" si="11"/>
        <v/>
      </c>
      <c r="AW67" s="708" t="str">
        <f t="shared" si="12"/>
        <v/>
      </c>
      <c r="AX67" s="708" t="str">
        <f t="shared" si="13"/>
        <v>入力済</v>
      </c>
      <c r="AY67" s="661" t="str">
        <f>IFERROR(VLOOKUP(K67,'【参考】数式用'!$AR$3:$AS$49,2,FALSE),"")</f>
        <v/>
      </c>
      <c r="AZ67" s="708" t="str">
        <f t="shared" si="14"/>
        <v/>
      </c>
      <c r="BA67" s="656" t="str">
        <f t="shared" si="15"/>
        <v>入力済</v>
      </c>
      <c r="BB67" s="661" t="str">
        <f>IFERROR(VLOOKUP(K67,'【参考】数式用'!$AX$3:$AY$56,2,FALSE),"")</f>
        <v/>
      </c>
      <c r="BC67" s="708" t="str">
        <f t="shared" si="16"/>
        <v/>
      </c>
      <c r="BD67" s="656" t="str">
        <f t="shared" si="17"/>
        <v>入力済</v>
      </c>
      <c r="BE67" s="656" t="str">
        <f t="shared" si="18"/>
        <v/>
      </c>
      <c r="BF67" s="656" t="str">
        <f t="shared" si="19"/>
        <v/>
      </c>
      <c r="BG67" s="656" t="str">
        <f t="shared" si="20"/>
        <v/>
      </c>
      <c r="BH67" s="656" t="str">
        <f t="shared" si="21"/>
        <v/>
      </c>
      <c r="BI67" s="656" t="str">
        <f t="shared" si="22"/>
        <v/>
      </c>
      <c r="BM67" s="680" t="e">
        <f>VLOOKUP(K67,'【参考】数式用'!$A$2:$O$57,15,FALSE)</f>
        <v>#N/A</v>
      </c>
    </row>
    <row r="68" spans="1:65"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IF(AND(基本情報入力シート!AG96="",基本情報入力シート!AG96=""),"",基本情報入力シート!AG96)</f>
        <v/>
      </c>
      <c r="N68" s="569"/>
      <c r="O68" s="574" t="str">
        <f>IFERROR(VLOOKUP(K68,'【参考】数式用'!$A$2:$M$57,MATCH(N68,'【参考】数式用'!$G$3:$M$3,0)+6,0),"")</f>
        <v/>
      </c>
      <c r="P68" s="581" t="s">
        <v>543</v>
      </c>
      <c r="Q68" s="586"/>
      <c r="R68" s="588" t="s">
        <v>75</v>
      </c>
      <c r="S68" s="586"/>
      <c r="T68" s="588" t="s">
        <v>159</v>
      </c>
      <c r="U68" s="586"/>
      <c r="V68" s="588" t="s">
        <v>75</v>
      </c>
      <c r="W68" s="586"/>
      <c r="X68" s="588" t="s">
        <v>722</v>
      </c>
      <c r="Y68" s="588" t="s">
        <v>161</v>
      </c>
      <c r="Z68" s="588" t="str">
        <f t="shared" si="0"/>
        <v/>
      </c>
      <c r="AA68" s="592" t="s">
        <v>6</v>
      </c>
      <c r="AB68" s="597" t="str">
        <f t="shared" si="1"/>
        <v/>
      </c>
      <c r="AC68" s="602" t="str">
        <f>IFERROR(ROUNDDOWN(ROUNDDOWN(ROUND(L68*VLOOKUP(K68,'【参考】数式用'!$A$2:$M$57,MATCH("処遇改善加算Ⅳ",'【参考】数式用'!$G$3:$M$3,0)+6,0),0)*M68,0)*Z68*0.5,0),"")</f>
        <v/>
      </c>
      <c r="AD68" s="608"/>
      <c r="AE68" s="616"/>
      <c r="AF68" s="616"/>
      <c r="AG68" s="622"/>
      <c r="AH68" s="625"/>
      <c r="AI68" s="706"/>
      <c r="AJ68" s="632"/>
      <c r="AK68" s="647" t="str">
        <f t="shared" si="2"/>
        <v/>
      </c>
      <c r="AL68" s="650" t="str">
        <f t="shared" si="3"/>
        <v/>
      </c>
      <c r="AM68" s="653"/>
      <c r="AN68" s="708" t="str">
        <f>IFERROR(VLOOKUP(K68,'【参考】数式用'!$A$2:$N$57,14,FALSE),"")</f>
        <v/>
      </c>
      <c r="AO68" s="708" t="str">
        <f t="shared" si="4"/>
        <v/>
      </c>
      <c r="AP68" s="710" t="str">
        <f t="shared" si="5"/>
        <v/>
      </c>
      <c r="AQ68" s="710" t="str">
        <f t="shared" si="6"/>
        <v>キャリアパス要件Ⅰ・Ⅱ_</v>
      </c>
      <c r="AR68" s="661" t="str">
        <f t="shared" si="7"/>
        <v>入力済</v>
      </c>
      <c r="AS68" s="708" t="str">
        <f t="shared" si="8"/>
        <v/>
      </c>
      <c r="AT68" s="661" t="str">
        <f t="shared" si="9"/>
        <v>入力済</v>
      </c>
      <c r="AU68" s="661" t="str">
        <f t="shared" si="10"/>
        <v/>
      </c>
      <c r="AV68" s="661" t="str">
        <f t="shared" si="11"/>
        <v/>
      </c>
      <c r="AW68" s="708" t="str">
        <f t="shared" si="12"/>
        <v/>
      </c>
      <c r="AX68" s="708" t="str">
        <f t="shared" si="13"/>
        <v>入力済</v>
      </c>
      <c r="AY68" s="661" t="str">
        <f>IFERROR(VLOOKUP(K68,'【参考】数式用'!$AR$3:$AS$49,2,FALSE),"")</f>
        <v/>
      </c>
      <c r="AZ68" s="708" t="str">
        <f t="shared" si="14"/>
        <v/>
      </c>
      <c r="BA68" s="656" t="str">
        <f t="shared" si="15"/>
        <v>入力済</v>
      </c>
      <c r="BB68" s="661" t="str">
        <f>IFERROR(VLOOKUP(K68,'【参考】数式用'!$AX$3:$AY$56,2,FALSE),"")</f>
        <v/>
      </c>
      <c r="BC68" s="708" t="str">
        <f t="shared" si="16"/>
        <v/>
      </c>
      <c r="BD68" s="656" t="str">
        <f t="shared" si="17"/>
        <v>入力済</v>
      </c>
      <c r="BE68" s="656" t="str">
        <f t="shared" si="18"/>
        <v/>
      </c>
      <c r="BF68" s="656" t="str">
        <f t="shared" si="19"/>
        <v/>
      </c>
      <c r="BG68" s="656" t="str">
        <f t="shared" si="20"/>
        <v/>
      </c>
      <c r="BH68" s="656" t="str">
        <f t="shared" si="21"/>
        <v/>
      </c>
      <c r="BI68" s="656" t="str">
        <f t="shared" si="22"/>
        <v/>
      </c>
      <c r="BM68" s="680" t="e">
        <f>VLOOKUP(K68,'【参考】数式用'!$A$2:$O$57,15,FALSE)</f>
        <v>#N/A</v>
      </c>
    </row>
    <row r="69" spans="1:65"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IF(AND(基本情報入力シート!AG97="",基本情報入力シート!AG97=""),"",基本情報入力シート!AG97)</f>
        <v/>
      </c>
      <c r="N69" s="569"/>
      <c r="O69" s="574" t="str">
        <f>IFERROR(VLOOKUP(K69,'【参考】数式用'!$A$2:$M$57,MATCH(N69,'【参考】数式用'!$G$3:$M$3,0)+6,0),"")</f>
        <v/>
      </c>
      <c r="P69" s="581" t="s">
        <v>543</v>
      </c>
      <c r="Q69" s="586"/>
      <c r="R69" s="588" t="s">
        <v>75</v>
      </c>
      <c r="S69" s="586"/>
      <c r="T69" s="588" t="s">
        <v>159</v>
      </c>
      <c r="U69" s="586"/>
      <c r="V69" s="588" t="s">
        <v>75</v>
      </c>
      <c r="W69" s="586"/>
      <c r="X69" s="588" t="s">
        <v>722</v>
      </c>
      <c r="Y69" s="588" t="s">
        <v>161</v>
      </c>
      <c r="Z69" s="588" t="str">
        <f t="shared" si="0"/>
        <v/>
      </c>
      <c r="AA69" s="592" t="s">
        <v>6</v>
      </c>
      <c r="AB69" s="597" t="str">
        <f t="shared" si="1"/>
        <v/>
      </c>
      <c r="AC69" s="602" t="str">
        <f>IFERROR(ROUNDDOWN(ROUNDDOWN(ROUND(L69*VLOOKUP(K69,'【参考】数式用'!$A$2:$M$57,MATCH("処遇改善加算Ⅳ",'【参考】数式用'!$G$3:$M$3,0)+6,0),0)*M69,0)*Z69*0.5,0),"")</f>
        <v/>
      </c>
      <c r="AD69" s="608"/>
      <c r="AE69" s="616"/>
      <c r="AF69" s="616"/>
      <c r="AG69" s="622"/>
      <c r="AH69" s="625"/>
      <c r="AI69" s="706"/>
      <c r="AJ69" s="632"/>
      <c r="AK69" s="647" t="str">
        <f t="shared" si="2"/>
        <v/>
      </c>
      <c r="AL69" s="650" t="str">
        <f t="shared" si="3"/>
        <v/>
      </c>
      <c r="AM69" s="653"/>
      <c r="AN69" s="708" t="str">
        <f>IFERROR(VLOOKUP(K69,'【参考】数式用'!$A$2:$N$57,14,FALSE),"")</f>
        <v/>
      </c>
      <c r="AO69" s="708" t="str">
        <f t="shared" si="4"/>
        <v/>
      </c>
      <c r="AP69" s="710" t="str">
        <f t="shared" si="5"/>
        <v/>
      </c>
      <c r="AQ69" s="710" t="str">
        <f t="shared" si="6"/>
        <v>キャリアパス要件Ⅰ・Ⅱ_</v>
      </c>
      <c r="AR69" s="661" t="str">
        <f t="shared" si="7"/>
        <v>入力済</v>
      </c>
      <c r="AS69" s="708" t="str">
        <f t="shared" si="8"/>
        <v/>
      </c>
      <c r="AT69" s="661" t="str">
        <f t="shared" si="9"/>
        <v>入力済</v>
      </c>
      <c r="AU69" s="661" t="str">
        <f t="shared" si="10"/>
        <v/>
      </c>
      <c r="AV69" s="661" t="str">
        <f t="shared" si="11"/>
        <v/>
      </c>
      <c r="AW69" s="708" t="str">
        <f t="shared" si="12"/>
        <v/>
      </c>
      <c r="AX69" s="708" t="str">
        <f t="shared" si="13"/>
        <v>入力済</v>
      </c>
      <c r="AY69" s="661" t="str">
        <f>IFERROR(VLOOKUP(K69,'【参考】数式用'!$AR$3:$AS$49,2,FALSE),"")</f>
        <v/>
      </c>
      <c r="AZ69" s="708" t="str">
        <f t="shared" si="14"/>
        <v/>
      </c>
      <c r="BA69" s="656" t="str">
        <f t="shared" si="15"/>
        <v>入力済</v>
      </c>
      <c r="BB69" s="661" t="str">
        <f>IFERROR(VLOOKUP(K69,'【参考】数式用'!$AX$3:$AY$56,2,FALSE),"")</f>
        <v/>
      </c>
      <c r="BC69" s="708" t="str">
        <f t="shared" si="16"/>
        <v/>
      </c>
      <c r="BD69" s="656" t="str">
        <f t="shared" si="17"/>
        <v>入力済</v>
      </c>
      <c r="BE69" s="656" t="str">
        <f t="shared" si="18"/>
        <v/>
      </c>
      <c r="BF69" s="656" t="str">
        <f t="shared" si="19"/>
        <v/>
      </c>
      <c r="BG69" s="656" t="str">
        <f t="shared" si="20"/>
        <v/>
      </c>
      <c r="BH69" s="656" t="str">
        <f t="shared" si="21"/>
        <v/>
      </c>
      <c r="BI69" s="656" t="str">
        <f t="shared" si="22"/>
        <v/>
      </c>
      <c r="BM69" s="680" t="e">
        <f>VLOOKUP(K69,'【参考】数式用'!$A$2:$O$57,15,FALSE)</f>
        <v>#N/A</v>
      </c>
    </row>
    <row r="70" spans="1:65"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IF(AND(基本情報入力シート!AG98="",基本情報入力シート!AG98=""),"",基本情報入力シート!AG98)</f>
        <v/>
      </c>
      <c r="N70" s="569"/>
      <c r="O70" s="574" t="str">
        <f>IFERROR(VLOOKUP(K70,'【参考】数式用'!$A$2:$M$57,MATCH(N70,'【参考】数式用'!$G$3:$M$3,0)+6,0),"")</f>
        <v/>
      </c>
      <c r="P70" s="581" t="s">
        <v>543</v>
      </c>
      <c r="Q70" s="586"/>
      <c r="R70" s="588" t="s">
        <v>75</v>
      </c>
      <c r="S70" s="586"/>
      <c r="T70" s="588" t="s">
        <v>159</v>
      </c>
      <c r="U70" s="586"/>
      <c r="V70" s="588" t="s">
        <v>75</v>
      </c>
      <c r="W70" s="586"/>
      <c r="X70" s="588" t="s">
        <v>10</v>
      </c>
      <c r="Y70" s="588" t="s">
        <v>161</v>
      </c>
      <c r="Z70" s="588" t="str">
        <f t="shared" si="0"/>
        <v/>
      </c>
      <c r="AA70" s="592" t="s">
        <v>6</v>
      </c>
      <c r="AB70" s="597" t="str">
        <f t="shared" si="1"/>
        <v/>
      </c>
      <c r="AC70" s="602" t="str">
        <f>IFERROR(ROUNDDOWN(ROUNDDOWN(ROUND(L70*VLOOKUP(K70,'【参考】数式用'!$A$2:$M$57,MATCH("処遇改善加算Ⅳ",'【参考】数式用'!$G$3:$M$3,0)+6,0),0)*M70,0)*Z70*0.5,0),"")</f>
        <v/>
      </c>
      <c r="AD70" s="608"/>
      <c r="AE70" s="616"/>
      <c r="AF70" s="616"/>
      <c r="AG70" s="622"/>
      <c r="AH70" s="625"/>
      <c r="AI70" s="706"/>
      <c r="AJ70" s="632"/>
      <c r="AK70" s="647" t="str">
        <f t="shared" si="2"/>
        <v/>
      </c>
      <c r="AL70" s="650" t="str">
        <f t="shared" si="3"/>
        <v/>
      </c>
      <c r="AM70" s="653"/>
      <c r="AN70" s="708" t="str">
        <f>IFERROR(VLOOKUP(K70,'【参考】数式用'!$A$2:$N$57,14,FALSE),"")</f>
        <v/>
      </c>
      <c r="AO70" s="708" t="str">
        <f t="shared" si="4"/>
        <v/>
      </c>
      <c r="AP70" s="710" t="str">
        <f t="shared" si="5"/>
        <v/>
      </c>
      <c r="AQ70" s="710" t="str">
        <f t="shared" si="6"/>
        <v>キャリアパス要件Ⅰ・Ⅱ_</v>
      </c>
      <c r="AR70" s="661" t="str">
        <f t="shared" si="7"/>
        <v>入力済</v>
      </c>
      <c r="AS70" s="708" t="str">
        <f t="shared" si="8"/>
        <v/>
      </c>
      <c r="AT70" s="661" t="str">
        <f t="shared" si="9"/>
        <v>入力済</v>
      </c>
      <c r="AU70" s="661" t="str">
        <f t="shared" si="10"/>
        <v/>
      </c>
      <c r="AV70" s="661" t="str">
        <f t="shared" si="11"/>
        <v/>
      </c>
      <c r="AW70" s="708" t="str">
        <f t="shared" si="12"/>
        <v/>
      </c>
      <c r="AX70" s="708" t="str">
        <f t="shared" si="13"/>
        <v>入力済</v>
      </c>
      <c r="AY70" s="661" t="str">
        <f>IFERROR(VLOOKUP(K70,'【参考】数式用'!$AR$3:$AS$49,2,FALSE),"")</f>
        <v/>
      </c>
      <c r="AZ70" s="708" t="str">
        <f t="shared" si="14"/>
        <v/>
      </c>
      <c r="BA70" s="656" t="str">
        <f t="shared" si="15"/>
        <v>入力済</v>
      </c>
      <c r="BB70" s="661" t="str">
        <f>IFERROR(VLOOKUP(K70,'【参考】数式用'!$AX$3:$AY$56,2,FALSE),"")</f>
        <v/>
      </c>
      <c r="BC70" s="708" t="str">
        <f t="shared" si="16"/>
        <v/>
      </c>
      <c r="BD70" s="656" t="str">
        <f t="shared" si="17"/>
        <v>入力済</v>
      </c>
      <c r="BE70" s="656" t="str">
        <f t="shared" si="18"/>
        <v/>
      </c>
      <c r="BF70" s="656" t="str">
        <f t="shared" si="19"/>
        <v/>
      </c>
      <c r="BG70" s="656" t="str">
        <f t="shared" si="20"/>
        <v/>
      </c>
      <c r="BH70" s="656" t="str">
        <f t="shared" si="21"/>
        <v/>
      </c>
      <c r="BI70" s="656" t="str">
        <f t="shared" si="22"/>
        <v/>
      </c>
      <c r="BM70" s="680" t="e">
        <f>VLOOKUP(K70,'【参考】数式用'!$A$2:$O$57,15,FALSE)</f>
        <v>#N/A</v>
      </c>
    </row>
    <row r="71" spans="1:65"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IF(AND(基本情報入力シート!AG99="",基本情報入力シート!AG99=""),"",基本情報入力シート!AG99)</f>
        <v/>
      </c>
      <c r="N71" s="569"/>
      <c r="O71" s="574" t="str">
        <f>IFERROR(VLOOKUP(K71,'【参考】数式用'!$A$2:$M$57,MATCH(N71,'【参考】数式用'!$G$3:$M$3,0)+6,0),"")</f>
        <v/>
      </c>
      <c r="P71" s="581" t="s">
        <v>543</v>
      </c>
      <c r="Q71" s="586"/>
      <c r="R71" s="588" t="s">
        <v>75</v>
      </c>
      <c r="S71" s="586"/>
      <c r="T71" s="588" t="s">
        <v>159</v>
      </c>
      <c r="U71" s="586"/>
      <c r="V71" s="588" t="s">
        <v>75</v>
      </c>
      <c r="W71" s="586"/>
      <c r="X71" s="588" t="s">
        <v>10</v>
      </c>
      <c r="Y71" s="588" t="s">
        <v>161</v>
      </c>
      <c r="Z71" s="588" t="str">
        <f t="shared" si="0"/>
        <v/>
      </c>
      <c r="AA71" s="592" t="s">
        <v>6</v>
      </c>
      <c r="AB71" s="597" t="str">
        <f t="shared" si="1"/>
        <v/>
      </c>
      <c r="AC71" s="602" t="str">
        <f>IFERROR(ROUNDDOWN(ROUNDDOWN(ROUND(L71*VLOOKUP(K71,'【参考】数式用'!$A$2:$M$57,MATCH("処遇改善加算Ⅳ",'【参考】数式用'!$G$3:$M$3,0)+6,0),0)*M71,0)*Z71*0.5,0),"")</f>
        <v/>
      </c>
      <c r="AD71" s="608"/>
      <c r="AE71" s="616"/>
      <c r="AF71" s="616"/>
      <c r="AG71" s="622"/>
      <c r="AH71" s="625"/>
      <c r="AI71" s="706"/>
      <c r="AJ71" s="632"/>
      <c r="AK71" s="647" t="str">
        <f t="shared" si="2"/>
        <v/>
      </c>
      <c r="AL71" s="650" t="str">
        <f t="shared" si="3"/>
        <v/>
      </c>
      <c r="AM71" s="653"/>
      <c r="AN71" s="708" t="str">
        <f>IFERROR(VLOOKUP(K71,'【参考】数式用'!$A$2:$N$57,14,FALSE),"")</f>
        <v/>
      </c>
      <c r="AO71" s="708" t="str">
        <f t="shared" si="4"/>
        <v/>
      </c>
      <c r="AP71" s="710" t="str">
        <f t="shared" si="5"/>
        <v/>
      </c>
      <c r="AQ71" s="710" t="str">
        <f t="shared" si="6"/>
        <v>キャリアパス要件Ⅰ・Ⅱ_</v>
      </c>
      <c r="AR71" s="661" t="str">
        <f t="shared" si="7"/>
        <v>入力済</v>
      </c>
      <c r="AS71" s="708" t="str">
        <f t="shared" si="8"/>
        <v/>
      </c>
      <c r="AT71" s="661" t="str">
        <f t="shared" si="9"/>
        <v>入力済</v>
      </c>
      <c r="AU71" s="661" t="str">
        <f t="shared" si="10"/>
        <v/>
      </c>
      <c r="AV71" s="661" t="str">
        <f t="shared" si="11"/>
        <v/>
      </c>
      <c r="AW71" s="708" t="str">
        <f t="shared" si="12"/>
        <v/>
      </c>
      <c r="AX71" s="708" t="str">
        <f t="shared" si="13"/>
        <v>入力済</v>
      </c>
      <c r="AY71" s="661" t="str">
        <f>IFERROR(VLOOKUP(K71,'【参考】数式用'!$AR$3:$AS$49,2,FALSE),"")</f>
        <v/>
      </c>
      <c r="AZ71" s="708" t="str">
        <f t="shared" si="14"/>
        <v/>
      </c>
      <c r="BA71" s="656" t="str">
        <f t="shared" si="15"/>
        <v>入力済</v>
      </c>
      <c r="BB71" s="661" t="str">
        <f>IFERROR(VLOOKUP(K71,'【参考】数式用'!$AX$3:$AY$56,2,FALSE),"")</f>
        <v/>
      </c>
      <c r="BC71" s="708" t="str">
        <f t="shared" si="16"/>
        <v/>
      </c>
      <c r="BD71" s="656" t="str">
        <f t="shared" si="17"/>
        <v>入力済</v>
      </c>
      <c r="BE71" s="656" t="str">
        <f t="shared" si="18"/>
        <v/>
      </c>
      <c r="BF71" s="656" t="str">
        <f t="shared" si="19"/>
        <v/>
      </c>
      <c r="BG71" s="656" t="str">
        <f t="shared" si="20"/>
        <v/>
      </c>
      <c r="BH71" s="656" t="str">
        <f t="shared" si="21"/>
        <v/>
      </c>
      <c r="BI71" s="656" t="str">
        <f t="shared" si="22"/>
        <v/>
      </c>
      <c r="BM71" s="680" t="e">
        <f>VLOOKUP(K71,'【参考】数式用'!$A$2:$O$57,15,FALSE)</f>
        <v>#N/A</v>
      </c>
    </row>
    <row r="72" spans="1:65"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IF(AND(基本情報入力シート!AG100="",基本情報入力シート!AG100=""),"",基本情報入力シート!AG100)</f>
        <v/>
      </c>
      <c r="N72" s="569"/>
      <c r="O72" s="574" t="str">
        <f>IFERROR(VLOOKUP(K72,'【参考】数式用'!$A$2:$M$57,MATCH(N72,'【参考】数式用'!$G$3:$M$3,0)+6,0),"")</f>
        <v/>
      </c>
      <c r="P72" s="581" t="s">
        <v>543</v>
      </c>
      <c r="Q72" s="586"/>
      <c r="R72" s="588" t="s">
        <v>75</v>
      </c>
      <c r="S72" s="586"/>
      <c r="T72" s="588" t="s">
        <v>159</v>
      </c>
      <c r="U72" s="586"/>
      <c r="V72" s="588" t="s">
        <v>75</v>
      </c>
      <c r="W72" s="586"/>
      <c r="X72" s="588" t="s">
        <v>722</v>
      </c>
      <c r="Y72" s="588" t="s">
        <v>161</v>
      </c>
      <c r="Z72" s="588" t="str">
        <f t="shared" si="0"/>
        <v/>
      </c>
      <c r="AA72" s="592" t="s">
        <v>6</v>
      </c>
      <c r="AB72" s="597" t="str">
        <f t="shared" si="1"/>
        <v/>
      </c>
      <c r="AC72" s="602" t="str">
        <f>IFERROR(ROUNDDOWN(ROUNDDOWN(ROUND(L72*VLOOKUP(K72,'【参考】数式用'!$A$2:$M$57,MATCH("処遇改善加算Ⅳ",'【参考】数式用'!$G$3:$M$3,0)+6,0),0)*M72,0)*Z72*0.5,0),"")</f>
        <v/>
      </c>
      <c r="AD72" s="608"/>
      <c r="AE72" s="616"/>
      <c r="AF72" s="616"/>
      <c r="AG72" s="622"/>
      <c r="AH72" s="625"/>
      <c r="AI72" s="706"/>
      <c r="AJ72" s="632"/>
      <c r="AK72" s="647" t="str">
        <f t="shared" si="2"/>
        <v/>
      </c>
      <c r="AL72" s="650" t="str">
        <f t="shared" si="3"/>
        <v/>
      </c>
      <c r="AM72" s="653"/>
      <c r="AN72" s="708" t="str">
        <f>IFERROR(VLOOKUP(K72,'【参考】数式用'!$A$2:$N$57,14,FALSE),"")</f>
        <v/>
      </c>
      <c r="AO72" s="708" t="str">
        <f t="shared" si="4"/>
        <v/>
      </c>
      <c r="AP72" s="710" t="str">
        <f t="shared" si="5"/>
        <v/>
      </c>
      <c r="AQ72" s="710" t="str">
        <f t="shared" si="6"/>
        <v>キャリアパス要件Ⅰ・Ⅱ_</v>
      </c>
      <c r="AR72" s="661" t="str">
        <f t="shared" si="7"/>
        <v>入力済</v>
      </c>
      <c r="AS72" s="708" t="str">
        <f t="shared" si="8"/>
        <v/>
      </c>
      <c r="AT72" s="661" t="str">
        <f t="shared" si="9"/>
        <v>入力済</v>
      </c>
      <c r="AU72" s="661" t="str">
        <f t="shared" si="10"/>
        <v/>
      </c>
      <c r="AV72" s="661" t="str">
        <f t="shared" si="11"/>
        <v/>
      </c>
      <c r="AW72" s="708" t="str">
        <f t="shared" si="12"/>
        <v/>
      </c>
      <c r="AX72" s="708" t="str">
        <f t="shared" si="13"/>
        <v>入力済</v>
      </c>
      <c r="AY72" s="661" t="str">
        <f>IFERROR(VLOOKUP(K72,'【参考】数式用'!$AR$3:$AS$49,2,FALSE),"")</f>
        <v/>
      </c>
      <c r="AZ72" s="708" t="str">
        <f t="shared" si="14"/>
        <v/>
      </c>
      <c r="BA72" s="656" t="str">
        <f t="shared" si="15"/>
        <v>入力済</v>
      </c>
      <c r="BB72" s="661" t="str">
        <f>IFERROR(VLOOKUP(K72,'【参考】数式用'!$AX$3:$AY$56,2,FALSE),"")</f>
        <v/>
      </c>
      <c r="BC72" s="708" t="str">
        <f t="shared" si="16"/>
        <v/>
      </c>
      <c r="BD72" s="656" t="str">
        <f t="shared" si="17"/>
        <v>入力済</v>
      </c>
      <c r="BE72" s="656" t="str">
        <f t="shared" si="18"/>
        <v/>
      </c>
      <c r="BF72" s="656" t="str">
        <f t="shared" si="19"/>
        <v/>
      </c>
      <c r="BG72" s="656" t="str">
        <f t="shared" si="20"/>
        <v/>
      </c>
      <c r="BH72" s="656" t="str">
        <f t="shared" si="21"/>
        <v/>
      </c>
      <c r="BI72" s="656" t="str">
        <f t="shared" si="22"/>
        <v/>
      </c>
      <c r="BM72" s="680" t="e">
        <f>VLOOKUP(K72,'【参考】数式用'!$A$2:$O$57,15,FALSE)</f>
        <v>#N/A</v>
      </c>
    </row>
    <row r="73" spans="1:65"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IF(AND(基本情報入力シート!AG101="",基本情報入力シート!AG101=""),"",基本情報入力シート!AG101)</f>
        <v/>
      </c>
      <c r="N73" s="569"/>
      <c r="O73" s="574" t="str">
        <f>IFERROR(VLOOKUP(K73,'【参考】数式用'!$A$2:$M$57,MATCH(N73,'【参考】数式用'!$G$3:$M$3,0)+6,0),"")</f>
        <v/>
      </c>
      <c r="P73" s="581" t="s">
        <v>543</v>
      </c>
      <c r="Q73" s="586"/>
      <c r="R73" s="588" t="s">
        <v>75</v>
      </c>
      <c r="S73" s="586"/>
      <c r="T73" s="588" t="s">
        <v>159</v>
      </c>
      <c r="U73" s="586"/>
      <c r="V73" s="588" t="s">
        <v>75</v>
      </c>
      <c r="W73" s="586"/>
      <c r="X73" s="588" t="s">
        <v>722</v>
      </c>
      <c r="Y73" s="588" t="s">
        <v>161</v>
      </c>
      <c r="Z73" s="588" t="str">
        <f t="shared" si="0"/>
        <v/>
      </c>
      <c r="AA73" s="592" t="s">
        <v>6</v>
      </c>
      <c r="AB73" s="597" t="str">
        <f t="shared" si="1"/>
        <v/>
      </c>
      <c r="AC73" s="602" t="str">
        <f>IFERROR(ROUNDDOWN(ROUNDDOWN(ROUND(L73*VLOOKUP(K73,'【参考】数式用'!$A$2:$M$57,MATCH("処遇改善加算Ⅳ",'【参考】数式用'!$G$3:$M$3,0)+6,0),0)*M73,0)*Z73*0.5,0),"")</f>
        <v/>
      </c>
      <c r="AD73" s="608"/>
      <c r="AE73" s="616"/>
      <c r="AF73" s="616"/>
      <c r="AG73" s="622"/>
      <c r="AH73" s="625"/>
      <c r="AI73" s="706"/>
      <c r="AJ73" s="632"/>
      <c r="AK73" s="647" t="str">
        <f t="shared" si="2"/>
        <v/>
      </c>
      <c r="AL73" s="650" t="str">
        <f t="shared" si="3"/>
        <v/>
      </c>
      <c r="AM73" s="653"/>
      <c r="AN73" s="708" t="str">
        <f>IFERROR(VLOOKUP(K73,'【参考】数式用'!$A$2:$N$57,14,FALSE),"")</f>
        <v/>
      </c>
      <c r="AO73" s="708" t="str">
        <f t="shared" si="4"/>
        <v/>
      </c>
      <c r="AP73" s="710" t="str">
        <f t="shared" si="5"/>
        <v/>
      </c>
      <c r="AQ73" s="710" t="str">
        <f t="shared" si="6"/>
        <v>キャリアパス要件Ⅰ・Ⅱ_</v>
      </c>
      <c r="AR73" s="661" t="str">
        <f t="shared" si="7"/>
        <v>入力済</v>
      </c>
      <c r="AS73" s="708" t="str">
        <f t="shared" si="8"/>
        <v/>
      </c>
      <c r="AT73" s="661" t="str">
        <f t="shared" si="9"/>
        <v>入力済</v>
      </c>
      <c r="AU73" s="661" t="str">
        <f t="shared" si="10"/>
        <v/>
      </c>
      <c r="AV73" s="661" t="str">
        <f t="shared" si="11"/>
        <v/>
      </c>
      <c r="AW73" s="708" t="str">
        <f t="shared" si="12"/>
        <v/>
      </c>
      <c r="AX73" s="708" t="str">
        <f t="shared" si="13"/>
        <v>入力済</v>
      </c>
      <c r="AY73" s="661" t="str">
        <f>IFERROR(VLOOKUP(K73,'【参考】数式用'!$AR$3:$AS$49,2,FALSE),"")</f>
        <v/>
      </c>
      <c r="AZ73" s="708" t="str">
        <f t="shared" si="14"/>
        <v/>
      </c>
      <c r="BA73" s="656" t="str">
        <f t="shared" si="15"/>
        <v>入力済</v>
      </c>
      <c r="BB73" s="661" t="str">
        <f>IFERROR(VLOOKUP(K73,'【参考】数式用'!$AX$3:$AY$56,2,FALSE),"")</f>
        <v/>
      </c>
      <c r="BC73" s="708" t="str">
        <f t="shared" si="16"/>
        <v/>
      </c>
      <c r="BD73" s="656" t="str">
        <f t="shared" si="17"/>
        <v>入力済</v>
      </c>
      <c r="BE73" s="656" t="str">
        <f t="shared" si="18"/>
        <v/>
      </c>
      <c r="BF73" s="656" t="str">
        <f t="shared" si="19"/>
        <v/>
      </c>
      <c r="BG73" s="656" t="str">
        <f t="shared" si="20"/>
        <v/>
      </c>
      <c r="BH73" s="656" t="str">
        <f t="shared" si="21"/>
        <v/>
      </c>
      <c r="BI73" s="656" t="str">
        <f t="shared" si="22"/>
        <v/>
      </c>
      <c r="BM73" s="680" t="e">
        <f>VLOOKUP(K73,'【参考】数式用'!$A$2:$O$57,15,FALSE)</f>
        <v>#N/A</v>
      </c>
    </row>
    <row r="74" spans="1:65"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IF(AND(基本情報入力シート!AG102="",基本情報入力シート!AG102=""),"",基本情報入力シート!AG102)</f>
        <v/>
      </c>
      <c r="N74" s="569"/>
      <c r="O74" s="574" t="str">
        <f>IFERROR(VLOOKUP(K74,'【参考】数式用'!$A$2:$M$57,MATCH(N74,'【参考】数式用'!$G$3:$M$3,0)+6,0),"")</f>
        <v/>
      </c>
      <c r="P74" s="581" t="s">
        <v>543</v>
      </c>
      <c r="Q74" s="586"/>
      <c r="R74" s="588" t="s">
        <v>75</v>
      </c>
      <c r="S74" s="586"/>
      <c r="T74" s="588" t="s">
        <v>159</v>
      </c>
      <c r="U74" s="586"/>
      <c r="V74" s="588" t="s">
        <v>75</v>
      </c>
      <c r="W74" s="586"/>
      <c r="X74" s="588" t="s">
        <v>722</v>
      </c>
      <c r="Y74" s="588" t="s">
        <v>161</v>
      </c>
      <c r="Z74" s="588" t="str">
        <f t="shared" si="0"/>
        <v/>
      </c>
      <c r="AA74" s="592" t="s">
        <v>6</v>
      </c>
      <c r="AB74" s="597" t="str">
        <f t="shared" si="1"/>
        <v/>
      </c>
      <c r="AC74" s="602" t="str">
        <f>IFERROR(ROUNDDOWN(ROUNDDOWN(ROUND(L74*VLOOKUP(K74,'【参考】数式用'!$A$2:$M$57,MATCH("処遇改善加算Ⅳ",'【参考】数式用'!$G$3:$M$3,0)+6,0),0)*M74,0)*Z74*0.5,0),"")</f>
        <v/>
      </c>
      <c r="AD74" s="608"/>
      <c r="AE74" s="616"/>
      <c r="AF74" s="616"/>
      <c r="AG74" s="622"/>
      <c r="AH74" s="625"/>
      <c r="AI74" s="706"/>
      <c r="AJ74" s="632"/>
      <c r="AK74" s="647" t="str">
        <f t="shared" si="2"/>
        <v/>
      </c>
      <c r="AL74" s="650" t="str">
        <f t="shared" si="3"/>
        <v/>
      </c>
      <c r="AM74" s="653"/>
      <c r="AN74" s="708" t="str">
        <f>IFERROR(VLOOKUP(K74,'【参考】数式用'!$A$2:$N$57,14,FALSE),"")</f>
        <v/>
      </c>
      <c r="AO74" s="708" t="str">
        <f t="shared" si="4"/>
        <v/>
      </c>
      <c r="AP74" s="710" t="str">
        <f t="shared" si="5"/>
        <v/>
      </c>
      <c r="AQ74" s="710" t="str">
        <f t="shared" si="6"/>
        <v>キャリアパス要件Ⅰ・Ⅱ_</v>
      </c>
      <c r="AR74" s="661" t="str">
        <f t="shared" si="7"/>
        <v>入力済</v>
      </c>
      <c r="AS74" s="708" t="str">
        <f t="shared" si="8"/>
        <v/>
      </c>
      <c r="AT74" s="661" t="str">
        <f t="shared" si="9"/>
        <v>入力済</v>
      </c>
      <c r="AU74" s="661" t="str">
        <f t="shared" si="10"/>
        <v/>
      </c>
      <c r="AV74" s="661" t="str">
        <f t="shared" si="11"/>
        <v/>
      </c>
      <c r="AW74" s="708" t="str">
        <f t="shared" si="12"/>
        <v/>
      </c>
      <c r="AX74" s="708" t="str">
        <f t="shared" si="13"/>
        <v>入力済</v>
      </c>
      <c r="AY74" s="661" t="str">
        <f>IFERROR(VLOOKUP(K74,'【参考】数式用'!$AR$3:$AS$49,2,FALSE),"")</f>
        <v/>
      </c>
      <c r="AZ74" s="708" t="str">
        <f t="shared" si="14"/>
        <v/>
      </c>
      <c r="BA74" s="656" t="str">
        <f t="shared" si="15"/>
        <v>入力済</v>
      </c>
      <c r="BB74" s="661" t="str">
        <f>IFERROR(VLOOKUP(K74,'【参考】数式用'!$AX$3:$AY$56,2,FALSE),"")</f>
        <v/>
      </c>
      <c r="BC74" s="708" t="str">
        <f t="shared" si="16"/>
        <v/>
      </c>
      <c r="BD74" s="656" t="str">
        <f t="shared" si="17"/>
        <v>入力済</v>
      </c>
      <c r="BE74" s="656" t="str">
        <f t="shared" si="18"/>
        <v/>
      </c>
      <c r="BF74" s="656" t="str">
        <f t="shared" si="19"/>
        <v/>
      </c>
      <c r="BG74" s="656" t="str">
        <f t="shared" si="20"/>
        <v/>
      </c>
      <c r="BH74" s="656" t="str">
        <f t="shared" si="21"/>
        <v/>
      </c>
      <c r="BI74" s="656" t="str">
        <f t="shared" si="22"/>
        <v/>
      </c>
      <c r="BM74" s="680" t="e">
        <f>VLOOKUP(K74,'【参考】数式用'!$A$2:$O$57,15,FALSE)</f>
        <v>#N/A</v>
      </c>
    </row>
    <row r="75" spans="1:65"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IF(AND(基本情報入力シート!AG103="",基本情報入力シート!AG103=""),"",基本情報入力シート!AG103)</f>
        <v/>
      </c>
      <c r="N75" s="569"/>
      <c r="O75" s="574" t="str">
        <f>IFERROR(VLOOKUP(K75,'【参考】数式用'!$A$2:$M$57,MATCH(N75,'【参考】数式用'!$G$3:$M$3,0)+6,0),"")</f>
        <v/>
      </c>
      <c r="P75" s="581" t="s">
        <v>543</v>
      </c>
      <c r="Q75" s="586"/>
      <c r="R75" s="588" t="s">
        <v>75</v>
      </c>
      <c r="S75" s="586"/>
      <c r="T75" s="588" t="s">
        <v>159</v>
      </c>
      <c r="U75" s="586"/>
      <c r="V75" s="588" t="s">
        <v>75</v>
      </c>
      <c r="W75" s="586"/>
      <c r="X75" s="588" t="s">
        <v>10</v>
      </c>
      <c r="Y75" s="588" t="s">
        <v>161</v>
      </c>
      <c r="Z75" s="588" t="str">
        <f t="shared" si="0"/>
        <v/>
      </c>
      <c r="AA75" s="592" t="s">
        <v>6</v>
      </c>
      <c r="AB75" s="597" t="str">
        <f t="shared" si="1"/>
        <v/>
      </c>
      <c r="AC75" s="602" t="str">
        <f>IFERROR(ROUNDDOWN(ROUNDDOWN(ROUND(L75*VLOOKUP(K75,'【参考】数式用'!$A$2:$M$57,MATCH("処遇改善加算Ⅳ",'【参考】数式用'!$G$3:$M$3,0)+6,0),0)*M75,0)*Z75*0.5,0),"")</f>
        <v/>
      </c>
      <c r="AD75" s="608"/>
      <c r="AE75" s="616"/>
      <c r="AF75" s="616"/>
      <c r="AG75" s="622"/>
      <c r="AH75" s="625"/>
      <c r="AI75" s="706"/>
      <c r="AJ75" s="632"/>
      <c r="AK75" s="647" t="str">
        <f t="shared" si="2"/>
        <v/>
      </c>
      <c r="AL75" s="650" t="str">
        <f t="shared" si="3"/>
        <v/>
      </c>
      <c r="AM75" s="653"/>
      <c r="AN75" s="708" t="str">
        <f>IFERROR(VLOOKUP(K75,'【参考】数式用'!$A$2:$N$57,14,FALSE),"")</f>
        <v/>
      </c>
      <c r="AO75" s="708" t="str">
        <f t="shared" si="4"/>
        <v/>
      </c>
      <c r="AP75" s="710" t="str">
        <f t="shared" si="5"/>
        <v/>
      </c>
      <c r="AQ75" s="710" t="str">
        <f t="shared" si="6"/>
        <v>キャリアパス要件Ⅰ・Ⅱ_</v>
      </c>
      <c r="AR75" s="661" t="str">
        <f t="shared" si="7"/>
        <v>入力済</v>
      </c>
      <c r="AS75" s="708" t="str">
        <f t="shared" si="8"/>
        <v/>
      </c>
      <c r="AT75" s="661" t="str">
        <f t="shared" si="9"/>
        <v>入力済</v>
      </c>
      <c r="AU75" s="661" t="str">
        <f t="shared" si="10"/>
        <v/>
      </c>
      <c r="AV75" s="661" t="str">
        <f t="shared" si="11"/>
        <v/>
      </c>
      <c r="AW75" s="708" t="str">
        <f t="shared" si="12"/>
        <v/>
      </c>
      <c r="AX75" s="708" t="str">
        <f t="shared" si="13"/>
        <v>入力済</v>
      </c>
      <c r="AY75" s="661" t="str">
        <f>IFERROR(VLOOKUP(K75,'【参考】数式用'!$AR$3:$AS$49,2,FALSE),"")</f>
        <v/>
      </c>
      <c r="AZ75" s="708" t="str">
        <f t="shared" si="14"/>
        <v/>
      </c>
      <c r="BA75" s="656" t="str">
        <f t="shared" si="15"/>
        <v>入力済</v>
      </c>
      <c r="BB75" s="661" t="str">
        <f>IFERROR(VLOOKUP(K75,'【参考】数式用'!$AX$3:$AY$56,2,FALSE),"")</f>
        <v/>
      </c>
      <c r="BC75" s="708" t="str">
        <f t="shared" si="16"/>
        <v/>
      </c>
      <c r="BD75" s="656" t="str">
        <f t="shared" si="17"/>
        <v>入力済</v>
      </c>
      <c r="BE75" s="656" t="str">
        <f t="shared" si="18"/>
        <v/>
      </c>
      <c r="BF75" s="656" t="str">
        <f t="shared" si="19"/>
        <v/>
      </c>
      <c r="BG75" s="656" t="str">
        <f t="shared" si="20"/>
        <v/>
      </c>
      <c r="BH75" s="656" t="str">
        <f t="shared" si="21"/>
        <v/>
      </c>
      <c r="BI75" s="656" t="str">
        <f t="shared" si="22"/>
        <v/>
      </c>
      <c r="BM75" s="680" t="e">
        <f>VLOOKUP(K75,'【参考】数式用'!$A$2:$O$57,15,FALSE)</f>
        <v>#N/A</v>
      </c>
    </row>
    <row r="76" spans="1:65"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IF(AND(基本情報入力シート!AG104="",基本情報入力シート!AG104=""),"",基本情報入力シート!AG104)</f>
        <v/>
      </c>
      <c r="N76" s="569"/>
      <c r="O76" s="574" t="str">
        <f>IFERROR(VLOOKUP(K76,'【参考】数式用'!$A$2:$M$57,MATCH(N76,'【参考】数式用'!$G$3:$M$3,0)+6,0),"")</f>
        <v/>
      </c>
      <c r="P76" s="581" t="s">
        <v>543</v>
      </c>
      <c r="Q76" s="586"/>
      <c r="R76" s="588" t="s">
        <v>75</v>
      </c>
      <c r="S76" s="586"/>
      <c r="T76" s="588" t="s">
        <v>159</v>
      </c>
      <c r="U76" s="586"/>
      <c r="V76" s="588" t="s">
        <v>75</v>
      </c>
      <c r="W76" s="586"/>
      <c r="X76" s="588" t="s">
        <v>722</v>
      </c>
      <c r="Y76" s="588" t="s">
        <v>161</v>
      </c>
      <c r="Z76" s="588" t="str">
        <f t="shared" ref="Z76:Z111" si="23">IF(Q76&gt;=1,(U76*12+W76)-(Q76*12+S76)+1,"")</f>
        <v/>
      </c>
      <c r="AA76" s="592" t="s">
        <v>6</v>
      </c>
      <c r="AB76" s="597" t="str">
        <f t="shared" ref="AB76:AB111" si="24">IFERROR(ROUNDDOWN(ROUND(L76*O76,0)*M76,0)*Z76,"")</f>
        <v/>
      </c>
      <c r="AC76" s="602" t="str">
        <f>IFERROR(ROUNDDOWN(ROUNDDOWN(ROUND(L76*VLOOKUP(K76,'【参考】数式用'!$A$2:$M$57,MATCH("処遇改善加算Ⅳ",'【参考】数式用'!$G$3:$M$3,0)+6,0),0)*M76,0)*Z76*0.5,0),"")</f>
        <v/>
      </c>
      <c r="AD76" s="608"/>
      <c r="AE76" s="616"/>
      <c r="AF76" s="616"/>
      <c r="AG76" s="622"/>
      <c r="AH76" s="625"/>
      <c r="AI76" s="706"/>
      <c r="AJ76" s="632"/>
      <c r="AK76" s="647"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50"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53"/>
      <c r="AN76" s="708" t="str">
        <f>IFERROR(VLOOKUP(K76,'【参考】数式用'!$A$2:$N$57,14,FALSE),"")</f>
        <v/>
      </c>
      <c r="AO76" s="708" t="str">
        <f t="shared" ref="AO76:AO111" si="27">IF(AND(K76&lt;&gt;""),"N列に色付け","")</f>
        <v/>
      </c>
      <c r="AP76" s="710" t="str">
        <f t="shared" ref="AP76:AP111" si="28">IF(AND(AC76&lt;&gt;0,AC76&lt;&gt;"",AN76="加算対象"),IF(AD76="○","入力済","未入力"),"")</f>
        <v/>
      </c>
      <c r="AQ76" s="710" t="str">
        <f t="shared" ref="AQ76:AQ111" si="29">"キャリアパス要件Ⅰ・Ⅱ_"&amp;AN76</f>
        <v>キャリアパス要件Ⅰ・Ⅱ_</v>
      </c>
      <c r="AR76" s="661" t="str">
        <f t="shared" ref="AR76:AR111" si="30">IF(AND(N76&lt;&gt;"",AE76=""),"未入力","入力済")</f>
        <v>入力済</v>
      </c>
      <c r="AS76" s="708" t="str">
        <f t="shared" ref="AS76:AS111" si="31">IF(AND(N76&lt;&gt;"",N76&lt;&gt;"処遇改善加算Ⅳ",AN76="加算対象"),"AF列に色付け","")</f>
        <v/>
      </c>
      <c r="AT76" s="661" t="str">
        <f t="shared" ref="AT76:AT111" si="32">IF(AND(N76&lt;&gt;"",N76&lt;&gt;"処遇改善加算Ⅳ",N76&lt;&gt;"処遇改善加算",AF76=""),"未入力","入力済")</f>
        <v>入力済</v>
      </c>
      <c r="AU76" s="661" t="str">
        <f t="shared" ref="AU76:AU111" si="33">IF(OR(ISNUMBER(SEARCH("処遇改善加算Ⅰ",N76)),ISNUMBER(SEARCH("処遇改善加算Ⅱ",N76))),"対象","")</f>
        <v/>
      </c>
      <c r="AV76" s="661" t="str">
        <f t="shared" ref="AV76:AV111" si="34">IF(AND(AN76="加算対象",N76&lt;&gt;"処遇改善加算Ⅲ",N76&lt;&gt;"処遇改善加算Ⅳ",N76&lt;&gt;"",AU76&lt;&gt;"対象外"),1,"")</f>
        <v/>
      </c>
      <c r="AW76" s="708" t="str">
        <f t="shared" ref="AW76:AW111" si="35">IF(AND(AV76=1,OR(AG76=0,AG76=""),AN76="加算対象"),"AH列に色付け","")</f>
        <v/>
      </c>
      <c r="AX76" s="708" t="str">
        <f t="shared" ref="AX76:AX111" si="36">IF(AND($AV76=1,$AW76="AH列に色付け",OR($AG76="",$AH76="")),"未入力",IF(AND($AV76=1,$AW76="",$AG76=""),"未入力","入力済"))</f>
        <v>入力済</v>
      </c>
      <c r="AY76" s="661" t="str">
        <f>IFERROR(VLOOKUP(K76,'【参考】数式用'!$AR$3:$AS$49,2,FALSE),"")</f>
        <v/>
      </c>
      <c r="AZ76" s="708" t="str">
        <f t="shared" ref="AZ76:AZ111" si="37">IF(AND(AN76="加算対象",OR(N76="処遇改善加算Ⅰイ",N76="処遇改善加算Ⅰロ")),"AI列に色付け","")</f>
        <v/>
      </c>
      <c r="BA76" s="656" t="str">
        <f t="shared" ref="BA76:BA111" si="38">IF(AND(OR(N76="処遇改善加算Ⅰイ",N76="処遇改善加算Ⅰロ"),AI76=""),"未入力","入力済")</f>
        <v>入力済</v>
      </c>
      <c r="BB76" s="661" t="str">
        <f>IFERROR(VLOOKUP(K76,'【参考】数式用'!$AX$3:$AY$56,2,FALSE),"")</f>
        <v/>
      </c>
      <c r="BC76" s="708" t="str">
        <f t="shared" ref="BC76:BC111" si="39">IF(OR(COUNTIF(AE76:AH76,"*令和８年度特例要件を*")&gt;0,ISNUMBER(SEARCH("処遇改善加算Ⅰロ",N76)),ISNUMBER(SEARCH("処遇改善加算Ⅱロ",N76)),AN76="加算対象外"),"AJ列に色付け","")</f>
        <v/>
      </c>
      <c r="BD76" s="656" t="str">
        <f t="shared" ref="BD76:BD111" si="40">IF(AND(COUNTIF(AE76:AH76,"*令和８年度特例要件を*")&gt;0,AJ76=""),"未入力","入力済")</f>
        <v>入力済</v>
      </c>
      <c r="BE76" s="656" t="str">
        <f t="shared" ref="BE76:BE111" si="41">IF(AH76="*その他*","AJ列色消し",IF(OR(ISNUMBER(SEARCH("処遇改善加算Ⅰロ",N76)),ISNUMBER(SEARCH("処遇改善加算Ⅱロ",N76))),"",IF(AND(BC76="AJ列に色付け",AE76="○",AF76="○",AG76&gt;=1),"AJ列色消し","")))</f>
        <v/>
      </c>
      <c r="BF76" s="656" t="str">
        <f t="shared" ref="BF76:BF111" si="42">IF(AND(N76="処遇改善加算",AE76="○"),"AJ列色消し","")</f>
        <v/>
      </c>
      <c r="BG76" s="656" t="str">
        <f t="shared" ref="BG76:BG111" si="43">IF(OR(TRIM(BC76)="",BE76="AJ列色消し",BF76="AJ列色消し"),"","入力必要")</f>
        <v/>
      </c>
      <c r="BH76" s="656" t="str">
        <f t="shared" ref="BH76:BH111" si="44">IF(AND(BE76="",BG76="入力必要"),IF(AJ76="","未入力","入力済"),"")</f>
        <v/>
      </c>
      <c r="BI76" s="656" t="str">
        <f t="shared" ref="BI76:BI111" si="45">G76</f>
        <v/>
      </c>
      <c r="BM76" s="680" t="e">
        <f>VLOOKUP(K76,'【参考】数式用'!$A$2:$O$57,15,FALSE)</f>
        <v>#N/A</v>
      </c>
    </row>
    <row r="77" spans="1:65"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IF(AND(基本情報入力シート!AG105="",基本情報入力シート!AG105=""),"",基本情報入力シート!AG105)</f>
        <v/>
      </c>
      <c r="N77" s="569"/>
      <c r="O77" s="574" t="str">
        <f>IFERROR(VLOOKUP(K77,'【参考】数式用'!$A$2:$M$57,MATCH(N77,'【参考】数式用'!$G$3:$M$3,0)+6,0),"")</f>
        <v/>
      </c>
      <c r="P77" s="581" t="s">
        <v>543</v>
      </c>
      <c r="Q77" s="586"/>
      <c r="R77" s="588" t="s">
        <v>75</v>
      </c>
      <c r="S77" s="586"/>
      <c r="T77" s="588" t="s">
        <v>159</v>
      </c>
      <c r="U77" s="586"/>
      <c r="V77" s="588" t="s">
        <v>75</v>
      </c>
      <c r="W77" s="586"/>
      <c r="X77" s="588" t="s">
        <v>722</v>
      </c>
      <c r="Y77" s="588" t="s">
        <v>161</v>
      </c>
      <c r="Z77" s="588" t="str">
        <f t="shared" si="23"/>
        <v/>
      </c>
      <c r="AA77" s="592" t="s">
        <v>6</v>
      </c>
      <c r="AB77" s="597" t="str">
        <f t="shared" si="24"/>
        <v/>
      </c>
      <c r="AC77" s="602" t="str">
        <f>IFERROR(ROUNDDOWN(ROUNDDOWN(ROUND(L77*VLOOKUP(K77,'【参考】数式用'!$A$2:$M$57,MATCH("処遇改善加算Ⅳ",'【参考】数式用'!$G$3:$M$3,0)+6,0),0)*M77,0)*Z77*0.5,0),"")</f>
        <v/>
      </c>
      <c r="AD77" s="608"/>
      <c r="AE77" s="616"/>
      <c r="AF77" s="616"/>
      <c r="AG77" s="622"/>
      <c r="AH77" s="625"/>
      <c r="AI77" s="706"/>
      <c r="AJ77" s="632"/>
      <c r="AK77" s="647" t="str">
        <f t="shared" si="25"/>
        <v/>
      </c>
      <c r="AL77" s="650" t="str">
        <f t="shared" si="26"/>
        <v/>
      </c>
      <c r="AM77" s="653"/>
      <c r="AN77" s="708" t="str">
        <f>IFERROR(VLOOKUP(K77,'【参考】数式用'!$A$2:$N$57,14,FALSE),"")</f>
        <v/>
      </c>
      <c r="AO77" s="708" t="str">
        <f t="shared" si="27"/>
        <v/>
      </c>
      <c r="AP77" s="710" t="str">
        <f t="shared" si="28"/>
        <v/>
      </c>
      <c r="AQ77" s="710" t="str">
        <f t="shared" si="29"/>
        <v>キャリアパス要件Ⅰ・Ⅱ_</v>
      </c>
      <c r="AR77" s="661" t="str">
        <f t="shared" si="30"/>
        <v>入力済</v>
      </c>
      <c r="AS77" s="708" t="str">
        <f t="shared" si="31"/>
        <v/>
      </c>
      <c r="AT77" s="661" t="str">
        <f t="shared" si="32"/>
        <v>入力済</v>
      </c>
      <c r="AU77" s="661" t="str">
        <f t="shared" si="33"/>
        <v/>
      </c>
      <c r="AV77" s="661" t="str">
        <f t="shared" si="34"/>
        <v/>
      </c>
      <c r="AW77" s="708" t="str">
        <f t="shared" si="35"/>
        <v/>
      </c>
      <c r="AX77" s="708" t="str">
        <f t="shared" si="36"/>
        <v>入力済</v>
      </c>
      <c r="AY77" s="661" t="str">
        <f>IFERROR(VLOOKUP(K77,'【参考】数式用'!$AR$3:$AS$49,2,FALSE),"")</f>
        <v/>
      </c>
      <c r="AZ77" s="708" t="str">
        <f t="shared" si="37"/>
        <v/>
      </c>
      <c r="BA77" s="656" t="str">
        <f t="shared" si="38"/>
        <v>入力済</v>
      </c>
      <c r="BB77" s="661" t="str">
        <f>IFERROR(VLOOKUP(K77,'【参考】数式用'!$AX$3:$AY$56,2,FALSE),"")</f>
        <v/>
      </c>
      <c r="BC77" s="708" t="str">
        <f t="shared" si="39"/>
        <v/>
      </c>
      <c r="BD77" s="656" t="str">
        <f t="shared" si="40"/>
        <v>入力済</v>
      </c>
      <c r="BE77" s="656" t="str">
        <f t="shared" si="41"/>
        <v/>
      </c>
      <c r="BF77" s="656" t="str">
        <f t="shared" si="42"/>
        <v/>
      </c>
      <c r="BG77" s="656" t="str">
        <f t="shared" si="43"/>
        <v/>
      </c>
      <c r="BH77" s="656" t="str">
        <f t="shared" si="44"/>
        <v/>
      </c>
      <c r="BI77" s="656" t="str">
        <f t="shared" si="45"/>
        <v/>
      </c>
      <c r="BM77" s="680" t="e">
        <f>VLOOKUP(K77,'【参考】数式用'!$A$2:$O$57,15,FALSE)</f>
        <v>#N/A</v>
      </c>
    </row>
    <row r="78" spans="1:65"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IF(AND(基本情報入力シート!AG106="",基本情報入力シート!AG106=""),"",基本情報入力シート!AG106)</f>
        <v/>
      </c>
      <c r="N78" s="569"/>
      <c r="O78" s="574" t="str">
        <f>IFERROR(VLOOKUP(K78,'【参考】数式用'!$A$2:$M$57,MATCH(N78,'【参考】数式用'!$G$3:$M$3,0)+6,0),"")</f>
        <v/>
      </c>
      <c r="P78" s="581" t="s">
        <v>543</v>
      </c>
      <c r="Q78" s="586"/>
      <c r="R78" s="588" t="s">
        <v>75</v>
      </c>
      <c r="S78" s="586"/>
      <c r="T78" s="588" t="s">
        <v>159</v>
      </c>
      <c r="U78" s="586"/>
      <c r="V78" s="588" t="s">
        <v>75</v>
      </c>
      <c r="W78" s="586"/>
      <c r="X78" s="588" t="s">
        <v>722</v>
      </c>
      <c r="Y78" s="588" t="s">
        <v>161</v>
      </c>
      <c r="Z78" s="588" t="str">
        <f t="shared" si="23"/>
        <v/>
      </c>
      <c r="AA78" s="592" t="s">
        <v>6</v>
      </c>
      <c r="AB78" s="597" t="str">
        <f t="shared" si="24"/>
        <v/>
      </c>
      <c r="AC78" s="602" t="str">
        <f>IFERROR(ROUNDDOWN(ROUNDDOWN(ROUND(L78*VLOOKUP(K78,'【参考】数式用'!$A$2:$M$57,MATCH("処遇改善加算Ⅳ",'【参考】数式用'!$G$3:$M$3,0)+6,0),0)*M78,0)*Z78*0.5,0),"")</f>
        <v/>
      </c>
      <c r="AD78" s="608"/>
      <c r="AE78" s="616"/>
      <c r="AF78" s="616"/>
      <c r="AG78" s="622"/>
      <c r="AH78" s="625"/>
      <c r="AI78" s="706"/>
      <c r="AJ78" s="632"/>
      <c r="AK78" s="647" t="str">
        <f t="shared" si="25"/>
        <v/>
      </c>
      <c r="AL78" s="650" t="str">
        <f t="shared" si="26"/>
        <v/>
      </c>
      <c r="AM78" s="653"/>
      <c r="AN78" s="708" t="str">
        <f>IFERROR(VLOOKUP(K78,'【参考】数式用'!$A$2:$N$57,14,FALSE),"")</f>
        <v/>
      </c>
      <c r="AO78" s="708" t="str">
        <f t="shared" si="27"/>
        <v/>
      </c>
      <c r="AP78" s="710" t="str">
        <f t="shared" si="28"/>
        <v/>
      </c>
      <c r="AQ78" s="710" t="str">
        <f t="shared" si="29"/>
        <v>キャリアパス要件Ⅰ・Ⅱ_</v>
      </c>
      <c r="AR78" s="661" t="str">
        <f t="shared" si="30"/>
        <v>入力済</v>
      </c>
      <c r="AS78" s="708" t="str">
        <f t="shared" si="31"/>
        <v/>
      </c>
      <c r="AT78" s="661" t="str">
        <f t="shared" si="32"/>
        <v>入力済</v>
      </c>
      <c r="AU78" s="661" t="str">
        <f t="shared" si="33"/>
        <v/>
      </c>
      <c r="AV78" s="661" t="str">
        <f t="shared" si="34"/>
        <v/>
      </c>
      <c r="AW78" s="708" t="str">
        <f t="shared" si="35"/>
        <v/>
      </c>
      <c r="AX78" s="708" t="str">
        <f t="shared" si="36"/>
        <v>入力済</v>
      </c>
      <c r="AY78" s="661" t="str">
        <f>IFERROR(VLOOKUP(K78,'【参考】数式用'!$AR$3:$AS$49,2,FALSE),"")</f>
        <v/>
      </c>
      <c r="AZ78" s="708" t="str">
        <f t="shared" si="37"/>
        <v/>
      </c>
      <c r="BA78" s="656" t="str">
        <f t="shared" si="38"/>
        <v>入力済</v>
      </c>
      <c r="BB78" s="661" t="str">
        <f>IFERROR(VLOOKUP(K78,'【参考】数式用'!$AX$3:$AY$56,2,FALSE),"")</f>
        <v/>
      </c>
      <c r="BC78" s="708" t="str">
        <f t="shared" si="39"/>
        <v/>
      </c>
      <c r="BD78" s="656" t="str">
        <f t="shared" si="40"/>
        <v>入力済</v>
      </c>
      <c r="BE78" s="656" t="str">
        <f t="shared" si="41"/>
        <v/>
      </c>
      <c r="BF78" s="656" t="str">
        <f t="shared" si="42"/>
        <v/>
      </c>
      <c r="BG78" s="656" t="str">
        <f t="shared" si="43"/>
        <v/>
      </c>
      <c r="BH78" s="656" t="str">
        <f t="shared" si="44"/>
        <v/>
      </c>
      <c r="BI78" s="656" t="str">
        <f t="shared" si="45"/>
        <v/>
      </c>
      <c r="BM78" s="680" t="e">
        <f>VLOOKUP(K78,'【参考】数式用'!$A$2:$O$57,15,FALSE)</f>
        <v>#N/A</v>
      </c>
    </row>
    <row r="79" spans="1:65"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IF(AND(基本情報入力シート!AG107="",基本情報入力シート!AG107=""),"",基本情報入力シート!AG107)</f>
        <v/>
      </c>
      <c r="N79" s="569"/>
      <c r="O79" s="574" t="str">
        <f>IFERROR(VLOOKUP(K79,'【参考】数式用'!$A$2:$M$57,MATCH(N79,'【参考】数式用'!$G$3:$M$3,0)+6,0),"")</f>
        <v/>
      </c>
      <c r="P79" s="581" t="s">
        <v>543</v>
      </c>
      <c r="Q79" s="586"/>
      <c r="R79" s="588" t="s">
        <v>75</v>
      </c>
      <c r="S79" s="586"/>
      <c r="T79" s="588" t="s">
        <v>159</v>
      </c>
      <c r="U79" s="586"/>
      <c r="V79" s="588" t="s">
        <v>75</v>
      </c>
      <c r="W79" s="586"/>
      <c r="X79" s="588" t="s">
        <v>10</v>
      </c>
      <c r="Y79" s="588" t="s">
        <v>161</v>
      </c>
      <c r="Z79" s="588" t="str">
        <f t="shared" si="23"/>
        <v/>
      </c>
      <c r="AA79" s="592" t="s">
        <v>6</v>
      </c>
      <c r="AB79" s="597" t="str">
        <f t="shared" si="24"/>
        <v/>
      </c>
      <c r="AC79" s="602" t="str">
        <f>IFERROR(ROUNDDOWN(ROUNDDOWN(ROUND(L79*VLOOKUP(K79,'【参考】数式用'!$A$2:$M$57,MATCH("処遇改善加算Ⅳ",'【参考】数式用'!$G$3:$M$3,0)+6,0),0)*M79,0)*Z79*0.5,0),"")</f>
        <v/>
      </c>
      <c r="AD79" s="608"/>
      <c r="AE79" s="616"/>
      <c r="AF79" s="616"/>
      <c r="AG79" s="622"/>
      <c r="AH79" s="625"/>
      <c r="AI79" s="706"/>
      <c r="AJ79" s="632"/>
      <c r="AK79" s="647" t="str">
        <f t="shared" si="25"/>
        <v/>
      </c>
      <c r="AL79" s="650" t="str">
        <f t="shared" si="26"/>
        <v/>
      </c>
      <c r="AM79" s="653"/>
      <c r="AN79" s="708" t="str">
        <f>IFERROR(VLOOKUP(K79,'【参考】数式用'!$A$2:$N$57,14,FALSE),"")</f>
        <v/>
      </c>
      <c r="AO79" s="708" t="str">
        <f t="shared" si="27"/>
        <v/>
      </c>
      <c r="AP79" s="710" t="str">
        <f t="shared" si="28"/>
        <v/>
      </c>
      <c r="AQ79" s="710" t="str">
        <f t="shared" si="29"/>
        <v>キャリアパス要件Ⅰ・Ⅱ_</v>
      </c>
      <c r="AR79" s="661" t="str">
        <f t="shared" si="30"/>
        <v>入力済</v>
      </c>
      <c r="AS79" s="708" t="str">
        <f t="shared" si="31"/>
        <v/>
      </c>
      <c r="AT79" s="661" t="str">
        <f t="shared" si="32"/>
        <v>入力済</v>
      </c>
      <c r="AU79" s="661" t="str">
        <f t="shared" si="33"/>
        <v/>
      </c>
      <c r="AV79" s="661" t="str">
        <f t="shared" si="34"/>
        <v/>
      </c>
      <c r="AW79" s="708" t="str">
        <f t="shared" si="35"/>
        <v/>
      </c>
      <c r="AX79" s="708" t="str">
        <f t="shared" si="36"/>
        <v>入力済</v>
      </c>
      <c r="AY79" s="661" t="str">
        <f>IFERROR(VLOOKUP(K79,'【参考】数式用'!$AR$3:$AS$49,2,FALSE),"")</f>
        <v/>
      </c>
      <c r="AZ79" s="708" t="str">
        <f t="shared" si="37"/>
        <v/>
      </c>
      <c r="BA79" s="656" t="str">
        <f t="shared" si="38"/>
        <v>入力済</v>
      </c>
      <c r="BB79" s="661" t="str">
        <f>IFERROR(VLOOKUP(K79,'【参考】数式用'!$AX$3:$AY$56,2,FALSE),"")</f>
        <v/>
      </c>
      <c r="BC79" s="708" t="str">
        <f t="shared" si="39"/>
        <v/>
      </c>
      <c r="BD79" s="656" t="str">
        <f t="shared" si="40"/>
        <v>入力済</v>
      </c>
      <c r="BE79" s="656" t="str">
        <f t="shared" si="41"/>
        <v/>
      </c>
      <c r="BF79" s="656" t="str">
        <f t="shared" si="42"/>
        <v/>
      </c>
      <c r="BG79" s="656" t="str">
        <f t="shared" si="43"/>
        <v/>
      </c>
      <c r="BH79" s="656" t="str">
        <f t="shared" si="44"/>
        <v/>
      </c>
      <c r="BI79" s="656" t="str">
        <f t="shared" si="45"/>
        <v/>
      </c>
      <c r="BM79" s="680" t="e">
        <f>VLOOKUP(K79,'【参考】数式用'!$A$2:$O$57,15,FALSE)</f>
        <v>#N/A</v>
      </c>
    </row>
    <row r="80" spans="1:65"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IF(AND(基本情報入力シート!AG108="",基本情報入力シート!AG108=""),"",基本情報入力シート!AG108)</f>
        <v/>
      </c>
      <c r="N80" s="569"/>
      <c r="O80" s="574" t="str">
        <f>IFERROR(VLOOKUP(K80,'【参考】数式用'!$A$2:$M$57,MATCH(N80,'【参考】数式用'!$G$3:$M$3,0)+6,0),"")</f>
        <v/>
      </c>
      <c r="P80" s="581" t="s">
        <v>543</v>
      </c>
      <c r="Q80" s="586"/>
      <c r="R80" s="588" t="s">
        <v>75</v>
      </c>
      <c r="S80" s="586"/>
      <c r="T80" s="588" t="s">
        <v>159</v>
      </c>
      <c r="U80" s="586"/>
      <c r="V80" s="588" t="s">
        <v>75</v>
      </c>
      <c r="W80" s="586"/>
      <c r="X80" s="588" t="s">
        <v>10</v>
      </c>
      <c r="Y80" s="588" t="s">
        <v>161</v>
      </c>
      <c r="Z80" s="588" t="str">
        <f t="shared" si="23"/>
        <v/>
      </c>
      <c r="AA80" s="592" t="s">
        <v>6</v>
      </c>
      <c r="AB80" s="597" t="str">
        <f t="shared" si="24"/>
        <v/>
      </c>
      <c r="AC80" s="602" t="str">
        <f>IFERROR(ROUNDDOWN(ROUNDDOWN(ROUND(L80*VLOOKUP(K80,'【参考】数式用'!$A$2:$M$57,MATCH("処遇改善加算Ⅳ",'【参考】数式用'!$G$3:$M$3,0)+6,0),0)*M80,0)*Z80*0.5,0),"")</f>
        <v/>
      </c>
      <c r="AD80" s="608"/>
      <c r="AE80" s="616"/>
      <c r="AF80" s="616"/>
      <c r="AG80" s="622"/>
      <c r="AH80" s="625"/>
      <c r="AI80" s="706"/>
      <c r="AJ80" s="632"/>
      <c r="AK80" s="647" t="str">
        <f t="shared" si="25"/>
        <v/>
      </c>
      <c r="AL80" s="650" t="str">
        <f t="shared" si="26"/>
        <v/>
      </c>
      <c r="AM80" s="653"/>
      <c r="AN80" s="708" t="str">
        <f>IFERROR(VLOOKUP(K80,'【参考】数式用'!$A$2:$N$57,14,FALSE),"")</f>
        <v/>
      </c>
      <c r="AO80" s="708" t="str">
        <f t="shared" si="27"/>
        <v/>
      </c>
      <c r="AP80" s="710" t="str">
        <f t="shared" si="28"/>
        <v/>
      </c>
      <c r="AQ80" s="710" t="str">
        <f t="shared" si="29"/>
        <v>キャリアパス要件Ⅰ・Ⅱ_</v>
      </c>
      <c r="AR80" s="661" t="str">
        <f t="shared" si="30"/>
        <v>入力済</v>
      </c>
      <c r="AS80" s="708" t="str">
        <f t="shared" si="31"/>
        <v/>
      </c>
      <c r="AT80" s="661" t="str">
        <f t="shared" si="32"/>
        <v>入力済</v>
      </c>
      <c r="AU80" s="661" t="str">
        <f t="shared" si="33"/>
        <v/>
      </c>
      <c r="AV80" s="661" t="str">
        <f t="shared" si="34"/>
        <v/>
      </c>
      <c r="AW80" s="708" t="str">
        <f t="shared" si="35"/>
        <v/>
      </c>
      <c r="AX80" s="708" t="str">
        <f t="shared" si="36"/>
        <v>入力済</v>
      </c>
      <c r="AY80" s="661" t="str">
        <f>IFERROR(VLOOKUP(K80,'【参考】数式用'!$AR$3:$AS$49,2,FALSE),"")</f>
        <v/>
      </c>
      <c r="AZ80" s="708" t="str">
        <f t="shared" si="37"/>
        <v/>
      </c>
      <c r="BA80" s="656" t="str">
        <f t="shared" si="38"/>
        <v>入力済</v>
      </c>
      <c r="BB80" s="661" t="str">
        <f>IFERROR(VLOOKUP(K80,'【参考】数式用'!$AX$3:$AY$56,2,FALSE),"")</f>
        <v/>
      </c>
      <c r="BC80" s="708" t="str">
        <f t="shared" si="39"/>
        <v/>
      </c>
      <c r="BD80" s="656" t="str">
        <f t="shared" si="40"/>
        <v>入力済</v>
      </c>
      <c r="BE80" s="656" t="str">
        <f t="shared" si="41"/>
        <v/>
      </c>
      <c r="BF80" s="656" t="str">
        <f t="shared" si="42"/>
        <v/>
      </c>
      <c r="BG80" s="656" t="str">
        <f t="shared" si="43"/>
        <v/>
      </c>
      <c r="BH80" s="656" t="str">
        <f t="shared" si="44"/>
        <v/>
      </c>
      <c r="BI80" s="656" t="str">
        <f t="shared" si="45"/>
        <v/>
      </c>
      <c r="BM80" s="680" t="e">
        <f>VLOOKUP(K80,'【参考】数式用'!$A$2:$O$57,15,FALSE)</f>
        <v>#N/A</v>
      </c>
    </row>
    <row r="81" spans="1:65"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IF(AND(基本情報入力シート!AG109="",基本情報入力シート!AG109=""),"",基本情報入力シート!AG109)</f>
        <v/>
      </c>
      <c r="N81" s="569"/>
      <c r="O81" s="574" t="str">
        <f>IFERROR(VLOOKUP(K81,'【参考】数式用'!$A$2:$M$57,MATCH(N81,'【参考】数式用'!$G$3:$M$3,0)+6,0),"")</f>
        <v/>
      </c>
      <c r="P81" s="581" t="s">
        <v>543</v>
      </c>
      <c r="Q81" s="586"/>
      <c r="R81" s="588" t="s">
        <v>75</v>
      </c>
      <c r="S81" s="586"/>
      <c r="T81" s="588" t="s">
        <v>159</v>
      </c>
      <c r="U81" s="586"/>
      <c r="V81" s="588" t="s">
        <v>75</v>
      </c>
      <c r="W81" s="586"/>
      <c r="X81" s="588" t="s">
        <v>722</v>
      </c>
      <c r="Y81" s="588" t="s">
        <v>161</v>
      </c>
      <c r="Z81" s="588" t="str">
        <f t="shared" si="23"/>
        <v/>
      </c>
      <c r="AA81" s="592" t="s">
        <v>6</v>
      </c>
      <c r="AB81" s="597" t="str">
        <f t="shared" si="24"/>
        <v/>
      </c>
      <c r="AC81" s="602" t="str">
        <f>IFERROR(ROUNDDOWN(ROUNDDOWN(ROUND(L81*VLOOKUP(K81,'【参考】数式用'!$A$2:$M$57,MATCH("処遇改善加算Ⅳ",'【参考】数式用'!$G$3:$M$3,0)+6,0),0)*M81,0)*Z81*0.5,0),"")</f>
        <v/>
      </c>
      <c r="AD81" s="608"/>
      <c r="AE81" s="616"/>
      <c r="AF81" s="616"/>
      <c r="AG81" s="622"/>
      <c r="AH81" s="625"/>
      <c r="AI81" s="706"/>
      <c r="AJ81" s="632"/>
      <c r="AK81" s="647" t="str">
        <f t="shared" si="25"/>
        <v/>
      </c>
      <c r="AL81" s="650" t="str">
        <f t="shared" si="26"/>
        <v/>
      </c>
      <c r="AM81" s="653"/>
      <c r="AN81" s="708" t="str">
        <f>IFERROR(VLOOKUP(K81,'【参考】数式用'!$A$2:$N$57,14,FALSE),"")</f>
        <v/>
      </c>
      <c r="AO81" s="708" t="str">
        <f t="shared" si="27"/>
        <v/>
      </c>
      <c r="AP81" s="710" t="str">
        <f t="shared" si="28"/>
        <v/>
      </c>
      <c r="AQ81" s="710" t="str">
        <f t="shared" si="29"/>
        <v>キャリアパス要件Ⅰ・Ⅱ_</v>
      </c>
      <c r="AR81" s="661" t="str">
        <f t="shared" si="30"/>
        <v>入力済</v>
      </c>
      <c r="AS81" s="708" t="str">
        <f t="shared" si="31"/>
        <v/>
      </c>
      <c r="AT81" s="661" t="str">
        <f t="shared" si="32"/>
        <v>入力済</v>
      </c>
      <c r="AU81" s="661" t="str">
        <f t="shared" si="33"/>
        <v/>
      </c>
      <c r="AV81" s="661" t="str">
        <f t="shared" si="34"/>
        <v/>
      </c>
      <c r="AW81" s="708" t="str">
        <f t="shared" si="35"/>
        <v/>
      </c>
      <c r="AX81" s="708" t="str">
        <f t="shared" si="36"/>
        <v>入力済</v>
      </c>
      <c r="AY81" s="661" t="str">
        <f>IFERROR(VLOOKUP(K81,'【参考】数式用'!$AR$3:$AS$49,2,FALSE),"")</f>
        <v/>
      </c>
      <c r="AZ81" s="708" t="str">
        <f t="shared" si="37"/>
        <v/>
      </c>
      <c r="BA81" s="656" t="str">
        <f t="shared" si="38"/>
        <v>入力済</v>
      </c>
      <c r="BB81" s="661" t="str">
        <f>IFERROR(VLOOKUP(K81,'【参考】数式用'!$AX$3:$AY$56,2,FALSE),"")</f>
        <v/>
      </c>
      <c r="BC81" s="708" t="str">
        <f t="shared" si="39"/>
        <v/>
      </c>
      <c r="BD81" s="656" t="str">
        <f t="shared" si="40"/>
        <v>入力済</v>
      </c>
      <c r="BE81" s="656" t="str">
        <f t="shared" si="41"/>
        <v/>
      </c>
      <c r="BF81" s="656" t="str">
        <f t="shared" si="42"/>
        <v/>
      </c>
      <c r="BG81" s="656" t="str">
        <f t="shared" si="43"/>
        <v/>
      </c>
      <c r="BH81" s="656" t="str">
        <f t="shared" si="44"/>
        <v/>
      </c>
      <c r="BI81" s="656" t="str">
        <f t="shared" si="45"/>
        <v/>
      </c>
      <c r="BM81" s="680" t="e">
        <f>VLOOKUP(K81,'【参考】数式用'!$A$2:$O$57,15,FALSE)</f>
        <v>#N/A</v>
      </c>
    </row>
    <row r="82" spans="1:65"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IF(AND(基本情報入力シート!AG110="",基本情報入力シート!AG110=""),"",基本情報入力シート!AG110)</f>
        <v/>
      </c>
      <c r="N82" s="569"/>
      <c r="O82" s="574" t="str">
        <f>IFERROR(VLOOKUP(K82,'【参考】数式用'!$A$2:$M$57,MATCH(N82,'【参考】数式用'!$G$3:$M$3,0)+6,0),"")</f>
        <v/>
      </c>
      <c r="P82" s="581" t="s">
        <v>543</v>
      </c>
      <c r="Q82" s="586"/>
      <c r="R82" s="588" t="s">
        <v>75</v>
      </c>
      <c r="S82" s="586"/>
      <c r="T82" s="588" t="s">
        <v>159</v>
      </c>
      <c r="U82" s="586"/>
      <c r="V82" s="588" t="s">
        <v>75</v>
      </c>
      <c r="W82" s="586"/>
      <c r="X82" s="588" t="s">
        <v>722</v>
      </c>
      <c r="Y82" s="588" t="s">
        <v>161</v>
      </c>
      <c r="Z82" s="588" t="str">
        <f t="shared" si="23"/>
        <v/>
      </c>
      <c r="AA82" s="592" t="s">
        <v>6</v>
      </c>
      <c r="AB82" s="597" t="str">
        <f t="shared" si="24"/>
        <v/>
      </c>
      <c r="AC82" s="602" t="str">
        <f>IFERROR(ROUNDDOWN(ROUNDDOWN(ROUND(L82*VLOOKUP(K82,'【参考】数式用'!$A$2:$M$57,MATCH("処遇改善加算Ⅳ",'【参考】数式用'!$G$3:$M$3,0)+6,0),0)*M82,0)*Z82*0.5,0),"")</f>
        <v/>
      </c>
      <c r="AD82" s="608"/>
      <c r="AE82" s="616"/>
      <c r="AF82" s="616"/>
      <c r="AG82" s="622"/>
      <c r="AH82" s="625"/>
      <c r="AI82" s="706"/>
      <c r="AJ82" s="632"/>
      <c r="AK82" s="647" t="str">
        <f t="shared" si="25"/>
        <v/>
      </c>
      <c r="AL82" s="650" t="str">
        <f t="shared" si="26"/>
        <v/>
      </c>
      <c r="AM82" s="653"/>
      <c r="AN82" s="708" t="str">
        <f>IFERROR(VLOOKUP(K82,'【参考】数式用'!$A$2:$N$57,14,FALSE),"")</f>
        <v/>
      </c>
      <c r="AO82" s="708" t="str">
        <f t="shared" si="27"/>
        <v/>
      </c>
      <c r="AP82" s="710" t="str">
        <f t="shared" si="28"/>
        <v/>
      </c>
      <c r="AQ82" s="710" t="str">
        <f t="shared" si="29"/>
        <v>キャリアパス要件Ⅰ・Ⅱ_</v>
      </c>
      <c r="AR82" s="661" t="str">
        <f t="shared" si="30"/>
        <v>入力済</v>
      </c>
      <c r="AS82" s="708" t="str">
        <f t="shared" si="31"/>
        <v/>
      </c>
      <c r="AT82" s="661" t="str">
        <f t="shared" si="32"/>
        <v>入力済</v>
      </c>
      <c r="AU82" s="661" t="str">
        <f t="shared" si="33"/>
        <v/>
      </c>
      <c r="AV82" s="661" t="str">
        <f t="shared" si="34"/>
        <v/>
      </c>
      <c r="AW82" s="708" t="str">
        <f t="shared" si="35"/>
        <v/>
      </c>
      <c r="AX82" s="708" t="str">
        <f t="shared" si="36"/>
        <v>入力済</v>
      </c>
      <c r="AY82" s="661" t="str">
        <f>IFERROR(VLOOKUP(K82,'【参考】数式用'!$AR$3:$AS$49,2,FALSE),"")</f>
        <v/>
      </c>
      <c r="AZ82" s="708" t="str">
        <f t="shared" si="37"/>
        <v/>
      </c>
      <c r="BA82" s="656" t="str">
        <f t="shared" si="38"/>
        <v>入力済</v>
      </c>
      <c r="BB82" s="661" t="str">
        <f>IFERROR(VLOOKUP(K82,'【参考】数式用'!$AX$3:$AY$56,2,FALSE),"")</f>
        <v/>
      </c>
      <c r="BC82" s="708" t="str">
        <f t="shared" si="39"/>
        <v/>
      </c>
      <c r="BD82" s="656" t="str">
        <f t="shared" si="40"/>
        <v>入力済</v>
      </c>
      <c r="BE82" s="656" t="str">
        <f t="shared" si="41"/>
        <v/>
      </c>
      <c r="BF82" s="656" t="str">
        <f t="shared" si="42"/>
        <v/>
      </c>
      <c r="BG82" s="656" t="str">
        <f t="shared" si="43"/>
        <v/>
      </c>
      <c r="BH82" s="656" t="str">
        <f t="shared" si="44"/>
        <v/>
      </c>
      <c r="BI82" s="656" t="str">
        <f t="shared" si="45"/>
        <v/>
      </c>
      <c r="BM82" s="680" t="e">
        <f>VLOOKUP(K82,'【参考】数式用'!$A$2:$O$57,15,FALSE)</f>
        <v>#N/A</v>
      </c>
    </row>
    <row r="83" spans="1:65"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IF(AND(基本情報入力シート!AG111="",基本情報入力シート!AG111=""),"",基本情報入力シート!AG111)</f>
        <v/>
      </c>
      <c r="N83" s="569"/>
      <c r="O83" s="574" t="str">
        <f>IFERROR(VLOOKUP(K83,'【参考】数式用'!$A$2:$M$57,MATCH(N83,'【参考】数式用'!$G$3:$M$3,0)+6,0),"")</f>
        <v/>
      </c>
      <c r="P83" s="581" t="s">
        <v>543</v>
      </c>
      <c r="Q83" s="586"/>
      <c r="R83" s="588" t="s">
        <v>75</v>
      </c>
      <c r="S83" s="586"/>
      <c r="T83" s="588" t="s">
        <v>159</v>
      </c>
      <c r="U83" s="586"/>
      <c r="V83" s="588" t="s">
        <v>75</v>
      </c>
      <c r="W83" s="586"/>
      <c r="X83" s="588" t="s">
        <v>722</v>
      </c>
      <c r="Y83" s="588" t="s">
        <v>161</v>
      </c>
      <c r="Z83" s="588" t="str">
        <f t="shared" si="23"/>
        <v/>
      </c>
      <c r="AA83" s="592" t="s">
        <v>6</v>
      </c>
      <c r="AB83" s="597" t="str">
        <f t="shared" si="24"/>
        <v/>
      </c>
      <c r="AC83" s="602" t="str">
        <f>IFERROR(ROUNDDOWN(ROUNDDOWN(ROUND(L83*VLOOKUP(K83,'【参考】数式用'!$A$2:$M$57,MATCH("処遇改善加算Ⅳ",'【参考】数式用'!$G$3:$M$3,0)+6,0),0)*M83,0)*Z83*0.5,0),"")</f>
        <v/>
      </c>
      <c r="AD83" s="608"/>
      <c r="AE83" s="616"/>
      <c r="AF83" s="616"/>
      <c r="AG83" s="622"/>
      <c r="AH83" s="625"/>
      <c r="AI83" s="706"/>
      <c r="AJ83" s="632"/>
      <c r="AK83" s="647" t="str">
        <f t="shared" si="25"/>
        <v/>
      </c>
      <c r="AL83" s="650" t="str">
        <f t="shared" si="26"/>
        <v/>
      </c>
      <c r="AM83" s="653"/>
      <c r="AN83" s="708" t="str">
        <f>IFERROR(VLOOKUP(K83,'【参考】数式用'!$A$2:$N$57,14,FALSE),"")</f>
        <v/>
      </c>
      <c r="AO83" s="708" t="str">
        <f t="shared" si="27"/>
        <v/>
      </c>
      <c r="AP83" s="710" t="str">
        <f t="shared" si="28"/>
        <v/>
      </c>
      <c r="AQ83" s="710" t="str">
        <f t="shared" si="29"/>
        <v>キャリアパス要件Ⅰ・Ⅱ_</v>
      </c>
      <c r="AR83" s="661" t="str">
        <f t="shared" si="30"/>
        <v>入力済</v>
      </c>
      <c r="AS83" s="708" t="str">
        <f t="shared" si="31"/>
        <v/>
      </c>
      <c r="AT83" s="661" t="str">
        <f t="shared" si="32"/>
        <v>入力済</v>
      </c>
      <c r="AU83" s="661" t="str">
        <f t="shared" si="33"/>
        <v/>
      </c>
      <c r="AV83" s="661" t="str">
        <f t="shared" si="34"/>
        <v/>
      </c>
      <c r="AW83" s="708" t="str">
        <f t="shared" si="35"/>
        <v/>
      </c>
      <c r="AX83" s="708" t="str">
        <f t="shared" si="36"/>
        <v>入力済</v>
      </c>
      <c r="AY83" s="661" t="str">
        <f>IFERROR(VLOOKUP(K83,'【参考】数式用'!$AR$3:$AS$49,2,FALSE),"")</f>
        <v/>
      </c>
      <c r="AZ83" s="708" t="str">
        <f t="shared" si="37"/>
        <v/>
      </c>
      <c r="BA83" s="656" t="str">
        <f t="shared" si="38"/>
        <v>入力済</v>
      </c>
      <c r="BB83" s="661" t="str">
        <f>IFERROR(VLOOKUP(K83,'【参考】数式用'!$AX$3:$AY$56,2,FALSE),"")</f>
        <v/>
      </c>
      <c r="BC83" s="708" t="str">
        <f t="shared" si="39"/>
        <v/>
      </c>
      <c r="BD83" s="656" t="str">
        <f t="shared" si="40"/>
        <v>入力済</v>
      </c>
      <c r="BE83" s="656" t="str">
        <f t="shared" si="41"/>
        <v/>
      </c>
      <c r="BF83" s="656" t="str">
        <f t="shared" si="42"/>
        <v/>
      </c>
      <c r="BG83" s="656" t="str">
        <f t="shared" si="43"/>
        <v/>
      </c>
      <c r="BH83" s="656" t="str">
        <f t="shared" si="44"/>
        <v/>
      </c>
      <c r="BI83" s="656" t="str">
        <f t="shared" si="45"/>
        <v/>
      </c>
      <c r="BM83" s="680" t="e">
        <f>VLOOKUP(K83,'【参考】数式用'!$A$2:$O$57,15,FALSE)</f>
        <v>#N/A</v>
      </c>
    </row>
    <row r="84" spans="1:65"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IF(AND(基本情報入力シート!AG112="",基本情報入力シート!AG112=""),"",基本情報入力シート!AG112)</f>
        <v/>
      </c>
      <c r="N84" s="569"/>
      <c r="O84" s="574" t="str">
        <f>IFERROR(VLOOKUP(K84,'【参考】数式用'!$A$2:$M$57,MATCH(N84,'【参考】数式用'!$G$3:$M$3,0)+6,0),"")</f>
        <v/>
      </c>
      <c r="P84" s="581" t="s">
        <v>543</v>
      </c>
      <c r="Q84" s="586"/>
      <c r="R84" s="588" t="s">
        <v>75</v>
      </c>
      <c r="S84" s="586"/>
      <c r="T84" s="588" t="s">
        <v>159</v>
      </c>
      <c r="U84" s="586"/>
      <c r="V84" s="588" t="s">
        <v>75</v>
      </c>
      <c r="W84" s="586"/>
      <c r="X84" s="588" t="s">
        <v>10</v>
      </c>
      <c r="Y84" s="588" t="s">
        <v>161</v>
      </c>
      <c r="Z84" s="588" t="str">
        <f t="shared" si="23"/>
        <v/>
      </c>
      <c r="AA84" s="592" t="s">
        <v>6</v>
      </c>
      <c r="AB84" s="597" t="str">
        <f t="shared" si="24"/>
        <v/>
      </c>
      <c r="AC84" s="602" t="str">
        <f>IFERROR(ROUNDDOWN(ROUNDDOWN(ROUND(L84*VLOOKUP(K84,'【参考】数式用'!$A$2:$M$57,MATCH("処遇改善加算Ⅳ",'【参考】数式用'!$G$3:$M$3,0)+6,0),0)*M84,0)*Z84*0.5,0),"")</f>
        <v/>
      </c>
      <c r="AD84" s="608"/>
      <c r="AE84" s="616"/>
      <c r="AF84" s="616"/>
      <c r="AG84" s="622"/>
      <c r="AH84" s="625"/>
      <c r="AI84" s="706"/>
      <c r="AJ84" s="632"/>
      <c r="AK84" s="647" t="str">
        <f t="shared" si="25"/>
        <v/>
      </c>
      <c r="AL84" s="650" t="str">
        <f t="shared" si="26"/>
        <v/>
      </c>
      <c r="AM84" s="653"/>
      <c r="AN84" s="708" t="str">
        <f>IFERROR(VLOOKUP(K84,'【参考】数式用'!$A$2:$N$57,14,FALSE),"")</f>
        <v/>
      </c>
      <c r="AO84" s="708" t="str">
        <f t="shared" si="27"/>
        <v/>
      </c>
      <c r="AP84" s="710" t="str">
        <f t="shared" si="28"/>
        <v/>
      </c>
      <c r="AQ84" s="710" t="str">
        <f t="shared" si="29"/>
        <v>キャリアパス要件Ⅰ・Ⅱ_</v>
      </c>
      <c r="AR84" s="661" t="str">
        <f t="shared" si="30"/>
        <v>入力済</v>
      </c>
      <c r="AS84" s="708" t="str">
        <f t="shared" si="31"/>
        <v/>
      </c>
      <c r="AT84" s="661" t="str">
        <f t="shared" si="32"/>
        <v>入力済</v>
      </c>
      <c r="AU84" s="661" t="str">
        <f t="shared" si="33"/>
        <v/>
      </c>
      <c r="AV84" s="661" t="str">
        <f t="shared" si="34"/>
        <v/>
      </c>
      <c r="AW84" s="708" t="str">
        <f t="shared" si="35"/>
        <v/>
      </c>
      <c r="AX84" s="708" t="str">
        <f t="shared" si="36"/>
        <v>入力済</v>
      </c>
      <c r="AY84" s="661" t="str">
        <f>IFERROR(VLOOKUP(K84,'【参考】数式用'!$AR$3:$AS$49,2,FALSE),"")</f>
        <v/>
      </c>
      <c r="AZ84" s="708" t="str">
        <f t="shared" si="37"/>
        <v/>
      </c>
      <c r="BA84" s="656" t="str">
        <f t="shared" si="38"/>
        <v>入力済</v>
      </c>
      <c r="BB84" s="661" t="str">
        <f>IFERROR(VLOOKUP(K84,'【参考】数式用'!$AX$3:$AY$56,2,FALSE),"")</f>
        <v/>
      </c>
      <c r="BC84" s="708" t="str">
        <f t="shared" si="39"/>
        <v/>
      </c>
      <c r="BD84" s="656" t="str">
        <f t="shared" si="40"/>
        <v>入力済</v>
      </c>
      <c r="BE84" s="656" t="str">
        <f t="shared" si="41"/>
        <v/>
      </c>
      <c r="BF84" s="656" t="str">
        <f t="shared" si="42"/>
        <v/>
      </c>
      <c r="BG84" s="656" t="str">
        <f t="shared" si="43"/>
        <v/>
      </c>
      <c r="BH84" s="656" t="str">
        <f t="shared" si="44"/>
        <v/>
      </c>
      <c r="BI84" s="656" t="str">
        <f t="shared" si="45"/>
        <v/>
      </c>
      <c r="BM84" s="680" t="e">
        <f>VLOOKUP(K84,'【参考】数式用'!$A$2:$O$57,15,FALSE)</f>
        <v>#N/A</v>
      </c>
    </row>
    <row r="85" spans="1:65"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IF(AND(基本情報入力シート!AG113="",基本情報入力シート!AG113=""),"",基本情報入力シート!AG113)</f>
        <v/>
      </c>
      <c r="N85" s="569"/>
      <c r="O85" s="574" t="str">
        <f>IFERROR(VLOOKUP(K85,'【参考】数式用'!$A$2:$M$57,MATCH(N85,'【参考】数式用'!$G$3:$M$3,0)+6,0),"")</f>
        <v/>
      </c>
      <c r="P85" s="581" t="s">
        <v>543</v>
      </c>
      <c r="Q85" s="586"/>
      <c r="R85" s="588" t="s">
        <v>75</v>
      </c>
      <c r="S85" s="586"/>
      <c r="T85" s="588" t="s">
        <v>159</v>
      </c>
      <c r="U85" s="586"/>
      <c r="V85" s="588" t="s">
        <v>75</v>
      </c>
      <c r="W85" s="586"/>
      <c r="X85" s="588" t="s">
        <v>722</v>
      </c>
      <c r="Y85" s="588" t="s">
        <v>161</v>
      </c>
      <c r="Z85" s="588" t="str">
        <f t="shared" si="23"/>
        <v/>
      </c>
      <c r="AA85" s="592" t="s">
        <v>6</v>
      </c>
      <c r="AB85" s="597" t="str">
        <f t="shared" si="24"/>
        <v/>
      </c>
      <c r="AC85" s="602" t="str">
        <f>IFERROR(ROUNDDOWN(ROUNDDOWN(ROUND(L85*VLOOKUP(K85,'【参考】数式用'!$A$2:$M$57,MATCH("処遇改善加算Ⅳ",'【参考】数式用'!$G$3:$M$3,0)+6,0),0)*M85,0)*Z85*0.5,0),"")</f>
        <v/>
      </c>
      <c r="AD85" s="608"/>
      <c r="AE85" s="616"/>
      <c r="AF85" s="616"/>
      <c r="AG85" s="622"/>
      <c r="AH85" s="625"/>
      <c r="AI85" s="706"/>
      <c r="AJ85" s="632"/>
      <c r="AK85" s="647" t="str">
        <f t="shared" si="25"/>
        <v/>
      </c>
      <c r="AL85" s="650" t="str">
        <f t="shared" si="26"/>
        <v/>
      </c>
      <c r="AM85" s="653"/>
      <c r="AN85" s="708" t="str">
        <f>IFERROR(VLOOKUP(K85,'【参考】数式用'!$A$2:$N$57,14,FALSE),"")</f>
        <v/>
      </c>
      <c r="AO85" s="708" t="str">
        <f t="shared" si="27"/>
        <v/>
      </c>
      <c r="AP85" s="710" t="str">
        <f t="shared" si="28"/>
        <v/>
      </c>
      <c r="AQ85" s="710" t="str">
        <f t="shared" si="29"/>
        <v>キャリアパス要件Ⅰ・Ⅱ_</v>
      </c>
      <c r="AR85" s="661" t="str">
        <f t="shared" si="30"/>
        <v>入力済</v>
      </c>
      <c r="AS85" s="708" t="str">
        <f t="shared" si="31"/>
        <v/>
      </c>
      <c r="AT85" s="661" t="str">
        <f t="shared" si="32"/>
        <v>入力済</v>
      </c>
      <c r="AU85" s="661" t="str">
        <f t="shared" si="33"/>
        <v/>
      </c>
      <c r="AV85" s="661" t="str">
        <f t="shared" si="34"/>
        <v/>
      </c>
      <c r="AW85" s="708" t="str">
        <f t="shared" si="35"/>
        <v/>
      </c>
      <c r="AX85" s="708" t="str">
        <f t="shared" si="36"/>
        <v>入力済</v>
      </c>
      <c r="AY85" s="661" t="str">
        <f>IFERROR(VLOOKUP(K85,'【参考】数式用'!$AR$3:$AS$49,2,FALSE),"")</f>
        <v/>
      </c>
      <c r="AZ85" s="708" t="str">
        <f t="shared" si="37"/>
        <v/>
      </c>
      <c r="BA85" s="656" t="str">
        <f t="shared" si="38"/>
        <v>入力済</v>
      </c>
      <c r="BB85" s="661" t="str">
        <f>IFERROR(VLOOKUP(K85,'【参考】数式用'!$AX$3:$AY$56,2,FALSE),"")</f>
        <v/>
      </c>
      <c r="BC85" s="708" t="str">
        <f t="shared" si="39"/>
        <v/>
      </c>
      <c r="BD85" s="656" t="str">
        <f t="shared" si="40"/>
        <v>入力済</v>
      </c>
      <c r="BE85" s="656" t="str">
        <f t="shared" si="41"/>
        <v/>
      </c>
      <c r="BF85" s="656" t="str">
        <f t="shared" si="42"/>
        <v/>
      </c>
      <c r="BG85" s="656" t="str">
        <f t="shared" si="43"/>
        <v/>
      </c>
      <c r="BH85" s="656" t="str">
        <f t="shared" si="44"/>
        <v/>
      </c>
      <c r="BI85" s="656" t="str">
        <f t="shared" si="45"/>
        <v/>
      </c>
      <c r="BM85" s="680" t="e">
        <f>VLOOKUP(K85,'【参考】数式用'!$A$2:$O$57,15,FALSE)</f>
        <v>#N/A</v>
      </c>
    </row>
    <row r="86" spans="1:65"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IF(AND(基本情報入力シート!AG114="",基本情報入力シート!AG114=""),"",基本情報入力シート!AG114)</f>
        <v/>
      </c>
      <c r="N86" s="569"/>
      <c r="O86" s="574" t="str">
        <f>IFERROR(VLOOKUP(K86,'【参考】数式用'!$A$2:$M$57,MATCH(N86,'【参考】数式用'!$G$3:$M$3,0)+6,0),"")</f>
        <v/>
      </c>
      <c r="P86" s="581" t="s">
        <v>543</v>
      </c>
      <c r="Q86" s="586"/>
      <c r="R86" s="588" t="s">
        <v>75</v>
      </c>
      <c r="S86" s="586"/>
      <c r="T86" s="588" t="s">
        <v>159</v>
      </c>
      <c r="U86" s="586"/>
      <c r="V86" s="588" t="s">
        <v>75</v>
      </c>
      <c r="W86" s="586"/>
      <c r="X86" s="588" t="s">
        <v>722</v>
      </c>
      <c r="Y86" s="588" t="s">
        <v>161</v>
      </c>
      <c r="Z86" s="588" t="str">
        <f t="shared" si="23"/>
        <v/>
      </c>
      <c r="AA86" s="592" t="s">
        <v>6</v>
      </c>
      <c r="AB86" s="597" t="str">
        <f t="shared" si="24"/>
        <v/>
      </c>
      <c r="AC86" s="602" t="str">
        <f>IFERROR(ROUNDDOWN(ROUNDDOWN(ROUND(L86*VLOOKUP(K86,'【参考】数式用'!$A$2:$M$57,MATCH("処遇改善加算Ⅳ",'【参考】数式用'!$G$3:$M$3,0)+6,0),0)*M86,0)*Z86*0.5,0),"")</f>
        <v/>
      </c>
      <c r="AD86" s="608"/>
      <c r="AE86" s="616"/>
      <c r="AF86" s="616"/>
      <c r="AG86" s="622"/>
      <c r="AH86" s="625"/>
      <c r="AI86" s="706"/>
      <c r="AJ86" s="632"/>
      <c r="AK86" s="647" t="str">
        <f t="shared" si="25"/>
        <v/>
      </c>
      <c r="AL86" s="650" t="str">
        <f t="shared" si="26"/>
        <v/>
      </c>
      <c r="AM86" s="653"/>
      <c r="AN86" s="708" t="str">
        <f>IFERROR(VLOOKUP(K86,'【参考】数式用'!$A$2:$N$57,14,FALSE),"")</f>
        <v/>
      </c>
      <c r="AO86" s="708" t="str">
        <f t="shared" si="27"/>
        <v/>
      </c>
      <c r="AP86" s="710" t="str">
        <f t="shared" si="28"/>
        <v/>
      </c>
      <c r="AQ86" s="710" t="str">
        <f t="shared" si="29"/>
        <v>キャリアパス要件Ⅰ・Ⅱ_</v>
      </c>
      <c r="AR86" s="661" t="str">
        <f t="shared" si="30"/>
        <v>入力済</v>
      </c>
      <c r="AS86" s="708" t="str">
        <f t="shared" si="31"/>
        <v/>
      </c>
      <c r="AT86" s="661" t="str">
        <f t="shared" si="32"/>
        <v>入力済</v>
      </c>
      <c r="AU86" s="661" t="str">
        <f t="shared" si="33"/>
        <v/>
      </c>
      <c r="AV86" s="661" t="str">
        <f t="shared" si="34"/>
        <v/>
      </c>
      <c r="AW86" s="708" t="str">
        <f t="shared" si="35"/>
        <v/>
      </c>
      <c r="AX86" s="708" t="str">
        <f t="shared" si="36"/>
        <v>入力済</v>
      </c>
      <c r="AY86" s="661" t="str">
        <f>IFERROR(VLOOKUP(K86,'【参考】数式用'!$AR$3:$AS$49,2,FALSE),"")</f>
        <v/>
      </c>
      <c r="AZ86" s="708" t="str">
        <f t="shared" si="37"/>
        <v/>
      </c>
      <c r="BA86" s="656" t="str">
        <f t="shared" si="38"/>
        <v>入力済</v>
      </c>
      <c r="BB86" s="661" t="str">
        <f>IFERROR(VLOOKUP(K86,'【参考】数式用'!$AX$3:$AY$56,2,FALSE),"")</f>
        <v/>
      </c>
      <c r="BC86" s="708" t="str">
        <f t="shared" si="39"/>
        <v/>
      </c>
      <c r="BD86" s="656" t="str">
        <f t="shared" si="40"/>
        <v>入力済</v>
      </c>
      <c r="BE86" s="656" t="str">
        <f t="shared" si="41"/>
        <v/>
      </c>
      <c r="BF86" s="656" t="str">
        <f t="shared" si="42"/>
        <v/>
      </c>
      <c r="BG86" s="656" t="str">
        <f t="shared" si="43"/>
        <v/>
      </c>
      <c r="BH86" s="656" t="str">
        <f t="shared" si="44"/>
        <v/>
      </c>
      <c r="BI86" s="656" t="str">
        <f t="shared" si="45"/>
        <v/>
      </c>
      <c r="BM86" s="680" t="e">
        <f>VLOOKUP(K86,'【参考】数式用'!$A$2:$O$57,15,FALSE)</f>
        <v>#N/A</v>
      </c>
    </row>
    <row r="87" spans="1:65"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IF(AND(基本情報入力シート!AG115="",基本情報入力シート!AG115=""),"",基本情報入力シート!AG115)</f>
        <v/>
      </c>
      <c r="N87" s="569"/>
      <c r="O87" s="574" t="str">
        <f>IFERROR(VLOOKUP(K87,'【参考】数式用'!$A$2:$M$57,MATCH(N87,'【参考】数式用'!$G$3:$M$3,0)+6,0),"")</f>
        <v/>
      </c>
      <c r="P87" s="581" t="s">
        <v>543</v>
      </c>
      <c r="Q87" s="586"/>
      <c r="R87" s="588" t="s">
        <v>75</v>
      </c>
      <c r="S87" s="586"/>
      <c r="T87" s="588" t="s">
        <v>159</v>
      </c>
      <c r="U87" s="586"/>
      <c r="V87" s="588" t="s">
        <v>75</v>
      </c>
      <c r="W87" s="586"/>
      <c r="X87" s="588" t="s">
        <v>722</v>
      </c>
      <c r="Y87" s="588" t="s">
        <v>161</v>
      </c>
      <c r="Z87" s="588" t="str">
        <f t="shared" si="23"/>
        <v/>
      </c>
      <c r="AA87" s="592" t="s">
        <v>6</v>
      </c>
      <c r="AB87" s="597" t="str">
        <f t="shared" si="24"/>
        <v/>
      </c>
      <c r="AC87" s="602" t="str">
        <f>IFERROR(ROUNDDOWN(ROUNDDOWN(ROUND(L87*VLOOKUP(K87,'【参考】数式用'!$A$2:$M$57,MATCH("処遇改善加算Ⅳ",'【参考】数式用'!$G$3:$M$3,0)+6,0),0)*M87,0)*Z87*0.5,0),"")</f>
        <v/>
      </c>
      <c r="AD87" s="608"/>
      <c r="AE87" s="616"/>
      <c r="AF87" s="616"/>
      <c r="AG87" s="622"/>
      <c r="AH87" s="625"/>
      <c r="AI87" s="706"/>
      <c r="AJ87" s="632"/>
      <c r="AK87" s="647" t="str">
        <f t="shared" si="25"/>
        <v/>
      </c>
      <c r="AL87" s="650" t="str">
        <f t="shared" si="26"/>
        <v/>
      </c>
      <c r="AM87" s="653"/>
      <c r="AN87" s="708" t="str">
        <f>IFERROR(VLOOKUP(K87,'【参考】数式用'!$A$2:$N$57,14,FALSE),"")</f>
        <v/>
      </c>
      <c r="AO87" s="708" t="str">
        <f t="shared" si="27"/>
        <v/>
      </c>
      <c r="AP87" s="710" t="str">
        <f t="shared" si="28"/>
        <v/>
      </c>
      <c r="AQ87" s="710" t="str">
        <f t="shared" si="29"/>
        <v>キャリアパス要件Ⅰ・Ⅱ_</v>
      </c>
      <c r="AR87" s="661" t="str">
        <f t="shared" si="30"/>
        <v>入力済</v>
      </c>
      <c r="AS87" s="708" t="str">
        <f t="shared" si="31"/>
        <v/>
      </c>
      <c r="AT87" s="661" t="str">
        <f t="shared" si="32"/>
        <v>入力済</v>
      </c>
      <c r="AU87" s="661" t="str">
        <f t="shared" si="33"/>
        <v/>
      </c>
      <c r="AV87" s="661" t="str">
        <f t="shared" si="34"/>
        <v/>
      </c>
      <c r="AW87" s="708" t="str">
        <f t="shared" si="35"/>
        <v/>
      </c>
      <c r="AX87" s="708" t="str">
        <f t="shared" si="36"/>
        <v>入力済</v>
      </c>
      <c r="AY87" s="661" t="str">
        <f>IFERROR(VLOOKUP(K87,'【参考】数式用'!$AR$3:$AS$49,2,FALSE),"")</f>
        <v/>
      </c>
      <c r="AZ87" s="708" t="str">
        <f t="shared" si="37"/>
        <v/>
      </c>
      <c r="BA87" s="656" t="str">
        <f t="shared" si="38"/>
        <v>入力済</v>
      </c>
      <c r="BB87" s="661" t="str">
        <f>IFERROR(VLOOKUP(K87,'【参考】数式用'!$AX$3:$AY$56,2,FALSE),"")</f>
        <v/>
      </c>
      <c r="BC87" s="708" t="str">
        <f t="shared" si="39"/>
        <v/>
      </c>
      <c r="BD87" s="656" t="str">
        <f t="shared" si="40"/>
        <v>入力済</v>
      </c>
      <c r="BE87" s="656" t="str">
        <f t="shared" si="41"/>
        <v/>
      </c>
      <c r="BF87" s="656" t="str">
        <f t="shared" si="42"/>
        <v/>
      </c>
      <c r="BG87" s="656" t="str">
        <f t="shared" si="43"/>
        <v/>
      </c>
      <c r="BH87" s="656" t="str">
        <f t="shared" si="44"/>
        <v/>
      </c>
      <c r="BI87" s="656" t="str">
        <f t="shared" si="45"/>
        <v/>
      </c>
      <c r="BM87" s="680" t="e">
        <f>VLOOKUP(K87,'【参考】数式用'!$A$2:$O$57,15,FALSE)</f>
        <v>#N/A</v>
      </c>
    </row>
    <row r="88" spans="1:65"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IF(AND(基本情報入力シート!AG116="",基本情報入力シート!AG116=""),"",基本情報入力シート!AG116)</f>
        <v/>
      </c>
      <c r="N88" s="569"/>
      <c r="O88" s="574" t="str">
        <f>IFERROR(VLOOKUP(K88,'【参考】数式用'!$A$2:$M$57,MATCH(N88,'【参考】数式用'!$G$3:$M$3,0)+6,0),"")</f>
        <v/>
      </c>
      <c r="P88" s="581" t="s">
        <v>543</v>
      </c>
      <c r="Q88" s="586"/>
      <c r="R88" s="588" t="s">
        <v>75</v>
      </c>
      <c r="S88" s="586"/>
      <c r="T88" s="588" t="s">
        <v>159</v>
      </c>
      <c r="U88" s="586"/>
      <c r="V88" s="588" t="s">
        <v>75</v>
      </c>
      <c r="W88" s="586"/>
      <c r="X88" s="588" t="s">
        <v>10</v>
      </c>
      <c r="Y88" s="588" t="s">
        <v>161</v>
      </c>
      <c r="Z88" s="588" t="str">
        <f t="shared" si="23"/>
        <v/>
      </c>
      <c r="AA88" s="592" t="s">
        <v>6</v>
      </c>
      <c r="AB88" s="597" t="str">
        <f t="shared" si="24"/>
        <v/>
      </c>
      <c r="AC88" s="602" t="str">
        <f>IFERROR(ROUNDDOWN(ROUNDDOWN(ROUND(L88*VLOOKUP(K88,'【参考】数式用'!$A$2:$M$57,MATCH("処遇改善加算Ⅳ",'【参考】数式用'!$G$3:$M$3,0)+6,0),0)*M88,0)*Z88*0.5,0),"")</f>
        <v/>
      </c>
      <c r="AD88" s="608"/>
      <c r="AE88" s="616"/>
      <c r="AF88" s="616"/>
      <c r="AG88" s="622"/>
      <c r="AH88" s="625"/>
      <c r="AI88" s="706"/>
      <c r="AJ88" s="632"/>
      <c r="AK88" s="647" t="str">
        <f t="shared" si="25"/>
        <v/>
      </c>
      <c r="AL88" s="650" t="str">
        <f t="shared" si="26"/>
        <v/>
      </c>
      <c r="AM88" s="653"/>
      <c r="AN88" s="708" t="str">
        <f>IFERROR(VLOOKUP(K88,'【参考】数式用'!$A$2:$N$57,14,FALSE),"")</f>
        <v/>
      </c>
      <c r="AO88" s="708" t="str">
        <f t="shared" si="27"/>
        <v/>
      </c>
      <c r="AP88" s="710" t="str">
        <f t="shared" si="28"/>
        <v/>
      </c>
      <c r="AQ88" s="710" t="str">
        <f t="shared" si="29"/>
        <v>キャリアパス要件Ⅰ・Ⅱ_</v>
      </c>
      <c r="AR88" s="661" t="str">
        <f t="shared" si="30"/>
        <v>入力済</v>
      </c>
      <c r="AS88" s="708" t="str">
        <f t="shared" si="31"/>
        <v/>
      </c>
      <c r="AT88" s="661" t="str">
        <f t="shared" si="32"/>
        <v>入力済</v>
      </c>
      <c r="AU88" s="661" t="str">
        <f t="shared" si="33"/>
        <v/>
      </c>
      <c r="AV88" s="661" t="str">
        <f t="shared" si="34"/>
        <v/>
      </c>
      <c r="AW88" s="708" t="str">
        <f t="shared" si="35"/>
        <v/>
      </c>
      <c r="AX88" s="708" t="str">
        <f t="shared" si="36"/>
        <v>入力済</v>
      </c>
      <c r="AY88" s="661" t="str">
        <f>IFERROR(VLOOKUP(K88,'【参考】数式用'!$AR$3:$AS$49,2,FALSE),"")</f>
        <v/>
      </c>
      <c r="AZ88" s="708" t="str">
        <f t="shared" si="37"/>
        <v/>
      </c>
      <c r="BA88" s="656" t="str">
        <f t="shared" si="38"/>
        <v>入力済</v>
      </c>
      <c r="BB88" s="661" t="str">
        <f>IFERROR(VLOOKUP(K88,'【参考】数式用'!$AX$3:$AY$56,2,FALSE),"")</f>
        <v/>
      </c>
      <c r="BC88" s="708" t="str">
        <f t="shared" si="39"/>
        <v/>
      </c>
      <c r="BD88" s="656" t="str">
        <f t="shared" si="40"/>
        <v>入力済</v>
      </c>
      <c r="BE88" s="656" t="str">
        <f t="shared" si="41"/>
        <v/>
      </c>
      <c r="BF88" s="656" t="str">
        <f t="shared" si="42"/>
        <v/>
      </c>
      <c r="BG88" s="656" t="str">
        <f t="shared" si="43"/>
        <v/>
      </c>
      <c r="BH88" s="656" t="str">
        <f t="shared" si="44"/>
        <v/>
      </c>
      <c r="BI88" s="656" t="str">
        <f t="shared" si="45"/>
        <v/>
      </c>
      <c r="BM88" s="680" t="e">
        <f>VLOOKUP(K88,'【参考】数式用'!$A$2:$O$57,15,FALSE)</f>
        <v>#N/A</v>
      </c>
    </row>
    <row r="89" spans="1:65"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IF(AND(基本情報入力シート!AG117="",基本情報入力シート!AG117=""),"",基本情報入力シート!AG117)</f>
        <v/>
      </c>
      <c r="N89" s="569"/>
      <c r="O89" s="574" t="str">
        <f>IFERROR(VLOOKUP(K89,'【参考】数式用'!$A$2:$M$57,MATCH(N89,'【参考】数式用'!$G$3:$M$3,0)+6,0),"")</f>
        <v/>
      </c>
      <c r="P89" s="581" t="s">
        <v>543</v>
      </c>
      <c r="Q89" s="586"/>
      <c r="R89" s="588" t="s">
        <v>75</v>
      </c>
      <c r="S89" s="586"/>
      <c r="T89" s="588" t="s">
        <v>159</v>
      </c>
      <c r="U89" s="586"/>
      <c r="V89" s="588" t="s">
        <v>75</v>
      </c>
      <c r="W89" s="586"/>
      <c r="X89" s="588" t="s">
        <v>10</v>
      </c>
      <c r="Y89" s="588" t="s">
        <v>161</v>
      </c>
      <c r="Z89" s="588" t="str">
        <f t="shared" si="23"/>
        <v/>
      </c>
      <c r="AA89" s="592" t="s">
        <v>6</v>
      </c>
      <c r="AB89" s="597" t="str">
        <f t="shared" si="24"/>
        <v/>
      </c>
      <c r="AC89" s="602" t="str">
        <f>IFERROR(ROUNDDOWN(ROUNDDOWN(ROUND(L89*VLOOKUP(K89,'【参考】数式用'!$A$2:$M$57,MATCH("処遇改善加算Ⅳ",'【参考】数式用'!$G$3:$M$3,0)+6,0),0)*M89,0)*Z89*0.5,0),"")</f>
        <v/>
      </c>
      <c r="AD89" s="608"/>
      <c r="AE89" s="616"/>
      <c r="AF89" s="616"/>
      <c r="AG89" s="622"/>
      <c r="AH89" s="625"/>
      <c r="AI89" s="706"/>
      <c r="AJ89" s="632"/>
      <c r="AK89" s="647" t="str">
        <f t="shared" si="25"/>
        <v/>
      </c>
      <c r="AL89" s="650" t="str">
        <f t="shared" si="26"/>
        <v/>
      </c>
      <c r="AM89" s="653"/>
      <c r="AN89" s="708" t="str">
        <f>IFERROR(VLOOKUP(K89,'【参考】数式用'!$A$2:$N$57,14,FALSE),"")</f>
        <v/>
      </c>
      <c r="AO89" s="708" t="str">
        <f t="shared" si="27"/>
        <v/>
      </c>
      <c r="AP89" s="710" t="str">
        <f t="shared" si="28"/>
        <v/>
      </c>
      <c r="AQ89" s="710" t="str">
        <f t="shared" si="29"/>
        <v>キャリアパス要件Ⅰ・Ⅱ_</v>
      </c>
      <c r="AR89" s="661" t="str">
        <f t="shared" si="30"/>
        <v>入力済</v>
      </c>
      <c r="AS89" s="708" t="str">
        <f t="shared" si="31"/>
        <v/>
      </c>
      <c r="AT89" s="661" t="str">
        <f t="shared" si="32"/>
        <v>入力済</v>
      </c>
      <c r="AU89" s="661" t="str">
        <f t="shared" si="33"/>
        <v/>
      </c>
      <c r="AV89" s="661" t="str">
        <f t="shared" si="34"/>
        <v/>
      </c>
      <c r="AW89" s="708" t="str">
        <f t="shared" si="35"/>
        <v/>
      </c>
      <c r="AX89" s="708" t="str">
        <f t="shared" si="36"/>
        <v>入力済</v>
      </c>
      <c r="AY89" s="661" t="str">
        <f>IFERROR(VLOOKUP(K89,'【参考】数式用'!$AR$3:$AS$49,2,FALSE),"")</f>
        <v/>
      </c>
      <c r="AZ89" s="708" t="str">
        <f t="shared" si="37"/>
        <v/>
      </c>
      <c r="BA89" s="656" t="str">
        <f t="shared" si="38"/>
        <v>入力済</v>
      </c>
      <c r="BB89" s="661" t="str">
        <f>IFERROR(VLOOKUP(K89,'【参考】数式用'!$AX$3:$AY$56,2,FALSE),"")</f>
        <v/>
      </c>
      <c r="BC89" s="708" t="str">
        <f t="shared" si="39"/>
        <v/>
      </c>
      <c r="BD89" s="656" t="str">
        <f t="shared" si="40"/>
        <v>入力済</v>
      </c>
      <c r="BE89" s="656" t="str">
        <f t="shared" si="41"/>
        <v/>
      </c>
      <c r="BF89" s="656" t="str">
        <f t="shared" si="42"/>
        <v/>
      </c>
      <c r="BG89" s="656" t="str">
        <f t="shared" si="43"/>
        <v/>
      </c>
      <c r="BH89" s="656" t="str">
        <f t="shared" si="44"/>
        <v/>
      </c>
      <c r="BI89" s="656" t="str">
        <f t="shared" si="45"/>
        <v/>
      </c>
      <c r="BM89" s="680" t="e">
        <f>VLOOKUP(K89,'【参考】数式用'!$A$2:$O$57,15,FALSE)</f>
        <v>#N/A</v>
      </c>
    </row>
    <row r="90" spans="1:65"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IF(AND(基本情報入力シート!AG118="",基本情報入力シート!AG118=""),"",基本情報入力シート!AG118)</f>
        <v/>
      </c>
      <c r="N90" s="569"/>
      <c r="O90" s="574" t="str">
        <f>IFERROR(VLOOKUP(K90,'【参考】数式用'!$A$2:$M$57,MATCH(N90,'【参考】数式用'!$G$3:$M$3,0)+6,0),"")</f>
        <v/>
      </c>
      <c r="P90" s="581" t="s">
        <v>543</v>
      </c>
      <c r="Q90" s="586"/>
      <c r="R90" s="588" t="s">
        <v>75</v>
      </c>
      <c r="S90" s="586"/>
      <c r="T90" s="588" t="s">
        <v>159</v>
      </c>
      <c r="U90" s="586"/>
      <c r="V90" s="588" t="s">
        <v>75</v>
      </c>
      <c r="W90" s="586"/>
      <c r="X90" s="588" t="s">
        <v>722</v>
      </c>
      <c r="Y90" s="588" t="s">
        <v>161</v>
      </c>
      <c r="Z90" s="588" t="str">
        <f t="shared" si="23"/>
        <v/>
      </c>
      <c r="AA90" s="592" t="s">
        <v>6</v>
      </c>
      <c r="AB90" s="597" t="str">
        <f t="shared" si="24"/>
        <v/>
      </c>
      <c r="AC90" s="602" t="str">
        <f>IFERROR(ROUNDDOWN(ROUNDDOWN(ROUND(L90*VLOOKUP(K90,'【参考】数式用'!$A$2:$M$57,MATCH("処遇改善加算Ⅳ",'【参考】数式用'!$G$3:$M$3,0)+6,0),0)*M90,0)*Z90*0.5,0),"")</f>
        <v/>
      </c>
      <c r="AD90" s="608"/>
      <c r="AE90" s="616"/>
      <c r="AF90" s="616"/>
      <c r="AG90" s="622"/>
      <c r="AH90" s="625"/>
      <c r="AI90" s="706"/>
      <c r="AJ90" s="632"/>
      <c r="AK90" s="647" t="str">
        <f t="shared" si="25"/>
        <v/>
      </c>
      <c r="AL90" s="650" t="str">
        <f t="shared" si="26"/>
        <v/>
      </c>
      <c r="AM90" s="653"/>
      <c r="AN90" s="708" t="str">
        <f>IFERROR(VLOOKUP(K90,'【参考】数式用'!$A$2:$N$57,14,FALSE),"")</f>
        <v/>
      </c>
      <c r="AO90" s="708" t="str">
        <f t="shared" si="27"/>
        <v/>
      </c>
      <c r="AP90" s="710" t="str">
        <f t="shared" si="28"/>
        <v/>
      </c>
      <c r="AQ90" s="710" t="str">
        <f t="shared" si="29"/>
        <v>キャリアパス要件Ⅰ・Ⅱ_</v>
      </c>
      <c r="AR90" s="661" t="str">
        <f t="shared" si="30"/>
        <v>入力済</v>
      </c>
      <c r="AS90" s="708" t="str">
        <f t="shared" si="31"/>
        <v/>
      </c>
      <c r="AT90" s="661" t="str">
        <f t="shared" si="32"/>
        <v>入力済</v>
      </c>
      <c r="AU90" s="661" t="str">
        <f t="shared" si="33"/>
        <v/>
      </c>
      <c r="AV90" s="661" t="str">
        <f t="shared" si="34"/>
        <v/>
      </c>
      <c r="AW90" s="708" t="str">
        <f t="shared" si="35"/>
        <v/>
      </c>
      <c r="AX90" s="708" t="str">
        <f t="shared" si="36"/>
        <v>入力済</v>
      </c>
      <c r="AY90" s="661" t="str">
        <f>IFERROR(VLOOKUP(K90,'【参考】数式用'!$AR$3:$AS$49,2,FALSE),"")</f>
        <v/>
      </c>
      <c r="AZ90" s="708" t="str">
        <f t="shared" si="37"/>
        <v/>
      </c>
      <c r="BA90" s="656" t="str">
        <f t="shared" si="38"/>
        <v>入力済</v>
      </c>
      <c r="BB90" s="661" t="str">
        <f>IFERROR(VLOOKUP(K90,'【参考】数式用'!$AX$3:$AY$56,2,FALSE),"")</f>
        <v/>
      </c>
      <c r="BC90" s="708" t="str">
        <f t="shared" si="39"/>
        <v/>
      </c>
      <c r="BD90" s="656" t="str">
        <f t="shared" si="40"/>
        <v>入力済</v>
      </c>
      <c r="BE90" s="656" t="str">
        <f t="shared" si="41"/>
        <v/>
      </c>
      <c r="BF90" s="656" t="str">
        <f t="shared" si="42"/>
        <v/>
      </c>
      <c r="BG90" s="656" t="str">
        <f t="shared" si="43"/>
        <v/>
      </c>
      <c r="BH90" s="656" t="str">
        <f t="shared" si="44"/>
        <v/>
      </c>
      <c r="BI90" s="656" t="str">
        <f t="shared" si="45"/>
        <v/>
      </c>
      <c r="BM90" s="680" t="e">
        <f>VLOOKUP(K90,'【参考】数式用'!$A$2:$O$57,15,FALSE)</f>
        <v>#N/A</v>
      </c>
    </row>
    <row r="91" spans="1:65"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IF(AND(基本情報入力シート!AG119="",基本情報入力シート!AG119=""),"",基本情報入力シート!AG119)</f>
        <v/>
      </c>
      <c r="N91" s="569"/>
      <c r="O91" s="574" t="str">
        <f>IFERROR(VLOOKUP(K91,'【参考】数式用'!$A$2:$M$57,MATCH(N91,'【参考】数式用'!$G$3:$M$3,0)+6,0),"")</f>
        <v/>
      </c>
      <c r="P91" s="581" t="s">
        <v>543</v>
      </c>
      <c r="Q91" s="586"/>
      <c r="R91" s="588" t="s">
        <v>75</v>
      </c>
      <c r="S91" s="586"/>
      <c r="T91" s="588" t="s">
        <v>159</v>
      </c>
      <c r="U91" s="586"/>
      <c r="V91" s="588" t="s">
        <v>75</v>
      </c>
      <c r="W91" s="586"/>
      <c r="X91" s="588" t="s">
        <v>722</v>
      </c>
      <c r="Y91" s="588" t="s">
        <v>161</v>
      </c>
      <c r="Z91" s="588" t="str">
        <f t="shared" si="23"/>
        <v/>
      </c>
      <c r="AA91" s="592" t="s">
        <v>6</v>
      </c>
      <c r="AB91" s="597" t="str">
        <f t="shared" si="24"/>
        <v/>
      </c>
      <c r="AC91" s="602" t="str">
        <f>IFERROR(ROUNDDOWN(ROUNDDOWN(ROUND(L91*VLOOKUP(K91,'【参考】数式用'!$A$2:$M$57,MATCH("処遇改善加算Ⅳ",'【参考】数式用'!$G$3:$M$3,0)+6,0),0)*M91,0)*Z91*0.5,0),"")</f>
        <v/>
      </c>
      <c r="AD91" s="608"/>
      <c r="AE91" s="616"/>
      <c r="AF91" s="616"/>
      <c r="AG91" s="622"/>
      <c r="AH91" s="625"/>
      <c r="AI91" s="706"/>
      <c r="AJ91" s="632"/>
      <c r="AK91" s="647" t="str">
        <f t="shared" si="25"/>
        <v/>
      </c>
      <c r="AL91" s="650" t="str">
        <f t="shared" si="26"/>
        <v/>
      </c>
      <c r="AM91" s="653"/>
      <c r="AN91" s="708" t="str">
        <f>IFERROR(VLOOKUP(K91,'【参考】数式用'!$A$2:$N$57,14,FALSE),"")</f>
        <v/>
      </c>
      <c r="AO91" s="708" t="str">
        <f t="shared" si="27"/>
        <v/>
      </c>
      <c r="AP91" s="710" t="str">
        <f t="shared" si="28"/>
        <v/>
      </c>
      <c r="AQ91" s="710" t="str">
        <f t="shared" si="29"/>
        <v>キャリアパス要件Ⅰ・Ⅱ_</v>
      </c>
      <c r="AR91" s="661" t="str">
        <f t="shared" si="30"/>
        <v>入力済</v>
      </c>
      <c r="AS91" s="708" t="str">
        <f t="shared" si="31"/>
        <v/>
      </c>
      <c r="AT91" s="661" t="str">
        <f t="shared" si="32"/>
        <v>入力済</v>
      </c>
      <c r="AU91" s="661" t="str">
        <f t="shared" si="33"/>
        <v/>
      </c>
      <c r="AV91" s="661" t="str">
        <f t="shared" si="34"/>
        <v/>
      </c>
      <c r="AW91" s="708" t="str">
        <f t="shared" si="35"/>
        <v/>
      </c>
      <c r="AX91" s="708" t="str">
        <f t="shared" si="36"/>
        <v>入力済</v>
      </c>
      <c r="AY91" s="661" t="str">
        <f>IFERROR(VLOOKUP(K91,'【参考】数式用'!$AR$3:$AS$49,2,FALSE),"")</f>
        <v/>
      </c>
      <c r="AZ91" s="708" t="str">
        <f t="shared" si="37"/>
        <v/>
      </c>
      <c r="BA91" s="656" t="str">
        <f t="shared" si="38"/>
        <v>入力済</v>
      </c>
      <c r="BB91" s="661" t="str">
        <f>IFERROR(VLOOKUP(K91,'【参考】数式用'!$AX$3:$AY$56,2,FALSE),"")</f>
        <v/>
      </c>
      <c r="BC91" s="708" t="str">
        <f t="shared" si="39"/>
        <v/>
      </c>
      <c r="BD91" s="656" t="str">
        <f t="shared" si="40"/>
        <v>入力済</v>
      </c>
      <c r="BE91" s="656" t="str">
        <f t="shared" si="41"/>
        <v/>
      </c>
      <c r="BF91" s="656" t="str">
        <f t="shared" si="42"/>
        <v/>
      </c>
      <c r="BG91" s="656" t="str">
        <f t="shared" si="43"/>
        <v/>
      </c>
      <c r="BH91" s="656" t="str">
        <f t="shared" si="44"/>
        <v/>
      </c>
      <c r="BI91" s="656" t="str">
        <f t="shared" si="45"/>
        <v/>
      </c>
      <c r="BM91" s="680" t="e">
        <f>VLOOKUP(K91,'【参考】数式用'!$A$2:$O$57,15,FALSE)</f>
        <v>#N/A</v>
      </c>
    </row>
    <row r="92" spans="1:65"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IF(AND(基本情報入力シート!AG120="",基本情報入力シート!AG120=""),"",基本情報入力シート!AG120)</f>
        <v/>
      </c>
      <c r="N92" s="569"/>
      <c r="O92" s="574" t="str">
        <f>IFERROR(VLOOKUP(K92,'【参考】数式用'!$A$2:$M$57,MATCH(N92,'【参考】数式用'!$G$3:$M$3,0)+6,0),"")</f>
        <v/>
      </c>
      <c r="P92" s="581" t="s">
        <v>543</v>
      </c>
      <c r="Q92" s="586"/>
      <c r="R92" s="588" t="s">
        <v>75</v>
      </c>
      <c r="S92" s="586"/>
      <c r="T92" s="588" t="s">
        <v>159</v>
      </c>
      <c r="U92" s="586"/>
      <c r="V92" s="588" t="s">
        <v>75</v>
      </c>
      <c r="W92" s="586"/>
      <c r="X92" s="588" t="s">
        <v>722</v>
      </c>
      <c r="Y92" s="588" t="s">
        <v>161</v>
      </c>
      <c r="Z92" s="588" t="str">
        <f t="shared" si="23"/>
        <v/>
      </c>
      <c r="AA92" s="592" t="s">
        <v>6</v>
      </c>
      <c r="AB92" s="597" t="str">
        <f t="shared" si="24"/>
        <v/>
      </c>
      <c r="AC92" s="602" t="str">
        <f>IFERROR(ROUNDDOWN(ROUNDDOWN(ROUND(L92*VLOOKUP(K92,'【参考】数式用'!$A$2:$M$57,MATCH("処遇改善加算Ⅳ",'【参考】数式用'!$G$3:$M$3,0)+6,0),0)*M92,0)*Z92*0.5,0),"")</f>
        <v/>
      </c>
      <c r="AD92" s="608"/>
      <c r="AE92" s="616"/>
      <c r="AF92" s="616"/>
      <c r="AG92" s="622"/>
      <c r="AH92" s="625"/>
      <c r="AI92" s="706"/>
      <c r="AJ92" s="632"/>
      <c r="AK92" s="647" t="str">
        <f t="shared" si="25"/>
        <v/>
      </c>
      <c r="AL92" s="650" t="str">
        <f t="shared" si="26"/>
        <v/>
      </c>
      <c r="AM92" s="653"/>
      <c r="AN92" s="708" t="str">
        <f>IFERROR(VLOOKUP(K92,'【参考】数式用'!$A$2:$N$57,14,FALSE),"")</f>
        <v/>
      </c>
      <c r="AO92" s="708" t="str">
        <f t="shared" si="27"/>
        <v/>
      </c>
      <c r="AP92" s="710" t="str">
        <f t="shared" si="28"/>
        <v/>
      </c>
      <c r="AQ92" s="710" t="str">
        <f t="shared" si="29"/>
        <v>キャリアパス要件Ⅰ・Ⅱ_</v>
      </c>
      <c r="AR92" s="661" t="str">
        <f t="shared" si="30"/>
        <v>入力済</v>
      </c>
      <c r="AS92" s="708" t="str">
        <f t="shared" si="31"/>
        <v/>
      </c>
      <c r="AT92" s="661" t="str">
        <f t="shared" si="32"/>
        <v>入力済</v>
      </c>
      <c r="AU92" s="661" t="str">
        <f t="shared" si="33"/>
        <v/>
      </c>
      <c r="AV92" s="661" t="str">
        <f t="shared" si="34"/>
        <v/>
      </c>
      <c r="AW92" s="708" t="str">
        <f t="shared" si="35"/>
        <v/>
      </c>
      <c r="AX92" s="708" t="str">
        <f t="shared" si="36"/>
        <v>入力済</v>
      </c>
      <c r="AY92" s="661" t="str">
        <f>IFERROR(VLOOKUP(K92,'【参考】数式用'!$AR$3:$AS$49,2,FALSE),"")</f>
        <v/>
      </c>
      <c r="AZ92" s="708" t="str">
        <f t="shared" si="37"/>
        <v/>
      </c>
      <c r="BA92" s="656" t="str">
        <f t="shared" si="38"/>
        <v>入力済</v>
      </c>
      <c r="BB92" s="661" t="str">
        <f>IFERROR(VLOOKUP(K92,'【参考】数式用'!$AX$3:$AY$56,2,FALSE),"")</f>
        <v/>
      </c>
      <c r="BC92" s="708" t="str">
        <f t="shared" si="39"/>
        <v/>
      </c>
      <c r="BD92" s="656" t="str">
        <f t="shared" si="40"/>
        <v>入力済</v>
      </c>
      <c r="BE92" s="656" t="str">
        <f t="shared" si="41"/>
        <v/>
      </c>
      <c r="BF92" s="656" t="str">
        <f t="shared" si="42"/>
        <v/>
      </c>
      <c r="BG92" s="656" t="str">
        <f t="shared" si="43"/>
        <v/>
      </c>
      <c r="BH92" s="656" t="str">
        <f t="shared" si="44"/>
        <v/>
      </c>
      <c r="BI92" s="656" t="str">
        <f t="shared" si="45"/>
        <v/>
      </c>
      <c r="BM92" s="680" t="e">
        <f>VLOOKUP(K92,'【参考】数式用'!$A$2:$O$57,15,FALSE)</f>
        <v>#N/A</v>
      </c>
    </row>
    <row r="93" spans="1:65"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IF(AND(基本情報入力シート!AG121="",基本情報入力シート!AG121=""),"",基本情報入力シート!AG121)</f>
        <v/>
      </c>
      <c r="N93" s="569"/>
      <c r="O93" s="574" t="str">
        <f>IFERROR(VLOOKUP(K93,'【参考】数式用'!$A$2:$M$57,MATCH(N93,'【参考】数式用'!$G$3:$M$3,0)+6,0),"")</f>
        <v/>
      </c>
      <c r="P93" s="581" t="s">
        <v>543</v>
      </c>
      <c r="Q93" s="586"/>
      <c r="R93" s="588" t="s">
        <v>75</v>
      </c>
      <c r="S93" s="586"/>
      <c r="T93" s="588" t="s">
        <v>159</v>
      </c>
      <c r="U93" s="586"/>
      <c r="V93" s="588" t="s">
        <v>75</v>
      </c>
      <c r="W93" s="586"/>
      <c r="X93" s="588" t="s">
        <v>10</v>
      </c>
      <c r="Y93" s="588" t="s">
        <v>161</v>
      </c>
      <c r="Z93" s="588" t="str">
        <f t="shared" si="23"/>
        <v/>
      </c>
      <c r="AA93" s="592" t="s">
        <v>6</v>
      </c>
      <c r="AB93" s="597" t="str">
        <f t="shared" si="24"/>
        <v/>
      </c>
      <c r="AC93" s="602" t="str">
        <f>IFERROR(ROUNDDOWN(ROUNDDOWN(ROUND(L93*VLOOKUP(K93,'【参考】数式用'!$A$2:$M$57,MATCH("処遇改善加算Ⅳ",'【参考】数式用'!$G$3:$M$3,0)+6,0),0)*M93,0)*Z93*0.5,0),"")</f>
        <v/>
      </c>
      <c r="AD93" s="608"/>
      <c r="AE93" s="616"/>
      <c r="AF93" s="616"/>
      <c r="AG93" s="622"/>
      <c r="AH93" s="625"/>
      <c r="AI93" s="706"/>
      <c r="AJ93" s="632"/>
      <c r="AK93" s="647" t="str">
        <f t="shared" si="25"/>
        <v/>
      </c>
      <c r="AL93" s="650" t="str">
        <f t="shared" si="26"/>
        <v/>
      </c>
      <c r="AM93" s="653"/>
      <c r="AN93" s="708" t="str">
        <f>IFERROR(VLOOKUP(K93,'【参考】数式用'!$A$2:$N$57,14,FALSE),"")</f>
        <v/>
      </c>
      <c r="AO93" s="708" t="str">
        <f t="shared" si="27"/>
        <v/>
      </c>
      <c r="AP93" s="710" t="str">
        <f t="shared" si="28"/>
        <v/>
      </c>
      <c r="AQ93" s="710" t="str">
        <f t="shared" si="29"/>
        <v>キャリアパス要件Ⅰ・Ⅱ_</v>
      </c>
      <c r="AR93" s="661" t="str">
        <f t="shared" si="30"/>
        <v>入力済</v>
      </c>
      <c r="AS93" s="708" t="str">
        <f t="shared" si="31"/>
        <v/>
      </c>
      <c r="AT93" s="661" t="str">
        <f t="shared" si="32"/>
        <v>入力済</v>
      </c>
      <c r="AU93" s="661" t="str">
        <f t="shared" si="33"/>
        <v/>
      </c>
      <c r="AV93" s="661" t="str">
        <f t="shared" si="34"/>
        <v/>
      </c>
      <c r="AW93" s="708" t="str">
        <f t="shared" si="35"/>
        <v/>
      </c>
      <c r="AX93" s="708" t="str">
        <f t="shared" si="36"/>
        <v>入力済</v>
      </c>
      <c r="AY93" s="661" t="str">
        <f>IFERROR(VLOOKUP(K93,'【参考】数式用'!$AR$3:$AS$49,2,FALSE),"")</f>
        <v/>
      </c>
      <c r="AZ93" s="708" t="str">
        <f t="shared" si="37"/>
        <v/>
      </c>
      <c r="BA93" s="656" t="str">
        <f t="shared" si="38"/>
        <v>入力済</v>
      </c>
      <c r="BB93" s="661" t="str">
        <f>IFERROR(VLOOKUP(K93,'【参考】数式用'!$AX$3:$AY$56,2,FALSE),"")</f>
        <v/>
      </c>
      <c r="BC93" s="708" t="str">
        <f t="shared" si="39"/>
        <v/>
      </c>
      <c r="BD93" s="656" t="str">
        <f t="shared" si="40"/>
        <v>入力済</v>
      </c>
      <c r="BE93" s="656" t="str">
        <f t="shared" si="41"/>
        <v/>
      </c>
      <c r="BF93" s="656" t="str">
        <f t="shared" si="42"/>
        <v/>
      </c>
      <c r="BG93" s="656" t="str">
        <f t="shared" si="43"/>
        <v/>
      </c>
      <c r="BH93" s="656" t="str">
        <f t="shared" si="44"/>
        <v/>
      </c>
      <c r="BI93" s="656" t="str">
        <f t="shared" si="45"/>
        <v/>
      </c>
      <c r="BM93" s="680" t="e">
        <f>VLOOKUP(K93,'【参考】数式用'!$A$2:$O$57,15,FALSE)</f>
        <v>#N/A</v>
      </c>
    </row>
    <row r="94" spans="1:65"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IF(AND(基本情報入力シート!AG122="",基本情報入力シート!AG122=""),"",基本情報入力シート!AG122)</f>
        <v/>
      </c>
      <c r="N94" s="569"/>
      <c r="O94" s="574" t="str">
        <f>IFERROR(VLOOKUP(K94,'【参考】数式用'!$A$2:$M$57,MATCH(N94,'【参考】数式用'!$G$3:$M$3,0)+6,0),"")</f>
        <v/>
      </c>
      <c r="P94" s="581" t="s">
        <v>543</v>
      </c>
      <c r="Q94" s="586"/>
      <c r="R94" s="588" t="s">
        <v>75</v>
      </c>
      <c r="S94" s="586"/>
      <c r="T94" s="588" t="s">
        <v>159</v>
      </c>
      <c r="U94" s="586"/>
      <c r="V94" s="588" t="s">
        <v>75</v>
      </c>
      <c r="W94" s="586"/>
      <c r="X94" s="588" t="s">
        <v>722</v>
      </c>
      <c r="Y94" s="588" t="s">
        <v>161</v>
      </c>
      <c r="Z94" s="588" t="str">
        <f t="shared" si="23"/>
        <v/>
      </c>
      <c r="AA94" s="592" t="s">
        <v>6</v>
      </c>
      <c r="AB94" s="597" t="str">
        <f t="shared" si="24"/>
        <v/>
      </c>
      <c r="AC94" s="602" t="str">
        <f>IFERROR(ROUNDDOWN(ROUNDDOWN(ROUND(L94*VLOOKUP(K94,'【参考】数式用'!$A$2:$M$57,MATCH("処遇改善加算Ⅳ",'【参考】数式用'!$G$3:$M$3,0)+6,0),0)*M94,0)*Z94*0.5,0),"")</f>
        <v/>
      </c>
      <c r="AD94" s="608"/>
      <c r="AE94" s="616"/>
      <c r="AF94" s="616"/>
      <c r="AG94" s="622"/>
      <c r="AH94" s="625"/>
      <c r="AI94" s="706"/>
      <c r="AJ94" s="632"/>
      <c r="AK94" s="647" t="str">
        <f t="shared" si="25"/>
        <v/>
      </c>
      <c r="AL94" s="650" t="str">
        <f t="shared" si="26"/>
        <v/>
      </c>
      <c r="AM94" s="653"/>
      <c r="AN94" s="708" t="str">
        <f>IFERROR(VLOOKUP(K94,'【参考】数式用'!$A$2:$N$57,14,FALSE),"")</f>
        <v/>
      </c>
      <c r="AO94" s="708" t="str">
        <f t="shared" si="27"/>
        <v/>
      </c>
      <c r="AP94" s="710" t="str">
        <f t="shared" si="28"/>
        <v/>
      </c>
      <c r="AQ94" s="710" t="str">
        <f t="shared" si="29"/>
        <v>キャリアパス要件Ⅰ・Ⅱ_</v>
      </c>
      <c r="AR94" s="661" t="str">
        <f t="shared" si="30"/>
        <v>入力済</v>
      </c>
      <c r="AS94" s="708" t="str">
        <f t="shared" si="31"/>
        <v/>
      </c>
      <c r="AT94" s="661" t="str">
        <f t="shared" si="32"/>
        <v>入力済</v>
      </c>
      <c r="AU94" s="661" t="str">
        <f t="shared" si="33"/>
        <v/>
      </c>
      <c r="AV94" s="661" t="str">
        <f t="shared" si="34"/>
        <v/>
      </c>
      <c r="AW94" s="708" t="str">
        <f t="shared" si="35"/>
        <v/>
      </c>
      <c r="AX94" s="708" t="str">
        <f t="shared" si="36"/>
        <v>入力済</v>
      </c>
      <c r="AY94" s="661" t="str">
        <f>IFERROR(VLOOKUP(K94,'【参考】数式用'!$AR$3:$AS$49,2,FALSE),"")</f>
        <v/>
      </c>
      <c r="AZ94" s="708" t="str">
        <f t="shared" si="37"/>
        <v/>
      </c>
      <c r="BA94" s="656" t="str">
        <f t="shared" si="38"/>
        <v>入力済</v>
      </c>
      <c r="BB94" s="661" t="str">
        <f>IFERROR(VLOOKUP(K94,'【参考】数式用'!$AX$3:$AY$56,2,FALSE),"")</f>
        <v/>
      </c>
      <c r="BC94" s="708" t="str">
        <f t="shared" si="39"/>
        <v/>
      </c>
      <c r="BD94" s="656" t="str">
        <f t="shared" si="40"/>
        <v>入力済</v>
      </c>
      <c r="BE94" s="656" t="str">
        <f t="shared" si="41"/>
        <v/>
      </c>
      <c r="BF94" s="656" t="str">
        <f t="shared" si="42"/>
        <v/>
      </c>
      <c r="BG94" s="656" t="str">
        <f t="shared" si="43"/>
        <v/>
      </c>
      <c r="BH94" s="656" t="str">
        <f t="shared" si="44"/>
        <v/>
      </c>
      <c r="BI94" s="656" t="str">
        <f t="shared" si="45"/>
        <v/>
      </c>
      <c r="BM94" s="680" t="e">
        <f>VLOOKUP(K94,'【参考】数式用'!$A$2:$O$57,15,FALSE)</f>
        <v>#N/A</v>
      </c>
    </row>
    <row r="95" spans="1:65"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IF(AND(基本情報入力シート!AG123="",基本情報入力シート!AG123=""),"",基本情報入力シート!AG123)</f>
        <v/>
      </c>
      <c r="N95" s="569"/>
      <c r="O95" s="574" t="str">
        <f>IFERROR(VLOOKUP(K95,'【参考】数式用'!$A$2:$M$57,MATCH(N95,'【参考】数式用'!$G$3:$M$3,0)+6,0),"")</f>
        <v/>
      </c>
      <c r="P95" s="581" t="s">
        <v>543</v>
      </c>
      <c r="Q95" s="586"/>
      <c r="R95" s="588" t="s">
        <v>75</v>
      </c>
      <c r="S95" s="586"/>
      <c r="T95" s="588" t="s">
        <v>159</v>
      </c>
      <c r="U95" s="586"/>
      <c r="V95" s="588" t="s">
        <v>75</v>
      </c>
      <c r="W95" s="586"/>
      <c r="X95" s="588" t="s">
        <v>722</v>
      </c>
      <c r="Y95" s="588" t="s">
        <v>161</v>
      </c>
      <c r="Z95" s="588" t="str">
        <f t="shared" si="23"/>
        <v/>
      </c>
      <c r="AA95" s="592" t="s">
        <v>6</v>
      </c>
      <c r="AB95" s="597" t="str">
        <f t="shared" si="24"/>
        <v/>
      </c>
      <c r="AC95" s="602" t="str">
        <f>IFERROR(ROUNDDOWN(ROUNDDOWN(ROUND(L95*VLOOKUP(K95,'【参考】数式用'!$A$2:$M$57,MATCH("処遇改善加算Ⅳ",'【参考】数式用'!$G$3:$M$3,0)+6,0),0)*M95,0)*Z95*0.5,0),"")</f>
        <v/>
      </c>
      <c r="AD95" s="608"/>
      <c r="AE95" s="616"/>
      <c r="AF95" s="616"/>
      <c r="AG95" s="622"/>
      <c r="AH95" s="625"/>
      <c r="AI95" s="706"/>
      <c r="AJ95" s="632"/>
      <c r="AK95" s="647" t="str">
        <f t="shared" si="25"/>
        <v/>
      </c>
      <c r="AL95" s="650" t="str">
        <f t="shared" si="26"/>
        <v/>
      </c>
      <c r="AM95" s="653"/>
      <c r="AN95" s="708" t="str">
        <f>IFERROR(VLOOKUP(K95,'【参考】数式用'!$A$2:$N$57,14,FALSE),"")</f>
        <v/>
      </c>
      <c r="AO95" s="708" t="str">
        <f t="shared" si="27"/>
        <v/>
      </c>
      <c r="AP95" s="710" t="str">
        <f t="shared" si="28"/>
        <v/>
      </c>
      <c r="AQ95" s="710" t="str">
        <f t="shared" si="29"/>
        <v>キャリアパス要件Ⅰ・Ⅱ_</v>
      </c>
      <c r="AR95" s="661" t="str">
        <f t="shared" si="30"/>
        <v>入力済</v>
      </c>
      <c r="AS95" s="708" t="str">
        <f t="shared" si="31"/>
        <v/>
      </c>
      <c r="AT95" s="661" t="str">
        <f t="shared" si="32"/>
        <v>入力済</v>
      </c>
      <c r="AU95" s="661" t="str">
        <f t="shared" si="33"/>
        <v/>
      </c>
      <c r="AV95" s="661" t="str">
        <f t="shared" si="34"/>
        <v/>
      </c>
      <c r="AW95" s="708" t="str">
        <f t="shared" si="35"/>
        <v/>
      </c>
      <c r="AX95" s="708" t="str">
        <f t="shared" si="36"/>
        <v>入力済</v>
      </c>
      <c r="AY95" s="661" t="str">
        <f>IFERROR(VLOOKUP(K95,'【参考】数式用'!$AR$3:$AS$49,2,FALSE),"")</f>
        <v/>
      </c>
      <c r="AZ95" s="708" t="str">
        <f t="shared" si="37"/>
        <v/>
      </c>
      <c r="BA95" s="656" t="str">
        <f t="shared" si="38"/>
        <v>入力済</v>
      </c>
      <c r="BB95" s="661" t="str">
        <f>IFERROR(VLOOKUP(K95,'【参考】数式用'!$AX$3:$AY$56,2,FALSE),"")</f>
        <v/>
      </c>
      <c r="BC95" s="708" t="str">
        <f t="shared" si="39"/>
        <v/>
      </c>
      <c r="BD95" s="656" t="str">
        <f t="shared" si="40"/>
        <v>入力済</v>
      </c>
      <c r="BE95" s="656" t="str">
        <f t="shared" si="41"/>
        <v/>
      </c>
      <c r="BF95" s="656" t="str">
        <f t="shared" si="42"/>
        <v/>
      </c>
      <c r="BG95" s="656" t="str">
        <f t="shared" si="43"/>
        <v/>
      </c>
      <c r="BH95" s="656" t="str">
        <f t="shared" si="44"/>
        <v/>
      </c>
      <c r="BI95" s="656" t="str">
        <f t="shared" si="45"/>
        <v/>
      </c>
      <c r="BM95" s="680" t="e">
        <f>VLOOKUP(K95,'【参考】数式用'!$A$2:$O$57,15,FALSE)</f>
        <v>#N/A</v>
      </c>
    </row>
    <row r="96" spans="1:65"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IF(AND(基本情報入力シート!AG124="",基本情報入力シート!AG124=""),"",基本情報入力シート!AG124)</f>
        <v/>
      </c>
      <c r="N96" s="569"/>
      <c r="O96" s="574" t="str">
        <f>IFERROR(VLOOKUP(K96,'【参考】数式用'!$A$2:$M$57,MATCH(N96,'【参考】数式用'!$G$3:$M$3,0)+6,0),"")</f>
        <v/>
      </c>
      <c r="P96" s="581" t="s">
        <v>543</v>
      </c>
      <c r="Q96" s="586"/>
      <c r="R96" s="588" t="s">
        <v>75</v>
      </c>
      <c r="S96" s="586"/>
      <c r="T96" s="588" t="s">
        <v>159</v>
      </c>
      <c r="U96" s="586"/>
      <c r="V96" s="588" t="s">
        <v>75</v>
      </c>
      <c r="W96" s="586"/>
      <c r="X96" s="588" t="s">
        <v>722</v>
      </c>
      <c r="Y96" s="588" t="s">
        <v>161</v>
      </c>
      <c r="Z96" s="588" t="str">
        <f t="shared" si="23"/>
        <v/>
      </c>
      <c r="AA96" s="592" t="s">
        <v>6</v>
      </c>
      <c r="AB96" s="597" t="str">
        <f t="shared" si="24"/>
        <v/>
      </c>
      <c r="AC96" s="602" t="str">
        <f>IFERROR(ROUNDDOWN(ROUNDDOWN(ROUND(L96*VLOOKUP(K96,'【参考】数式用'!$A$2:$M$57,MATCH("処遇改善加算Ⅳ",'【参考】数式用'!$G$3:$M$3,0)+6,0),0)*M96,0)*Z96*0.5,0),"")</f>
        <v/>
      </c>
      <c r="AD96" s="608"/>
      <c r="AE96" s="616"/>
      <c r="AF96" s="616"/>
      <c r="AG96" s="622"/>
      <c r="AH96" s="625"/>
      <c r="AI96" s="706"/>
      <c r="AJ96" s="632"/>
      <c r="AK96" s="647" t="str">
        <f t="shared" si="25"/>
        <v/>
      </c>
      <c r="AL96" s="650" t="str">
        <f t="shared" si="26"/>
        <v/>
      </c>
      <c r="AM96" s="653"/>
      <c r="AN96" s="708" t="str">
        <f>IFERROR(VLOOKUP(K96,'【参考】数式用'!$A$2:$N$57,14,FALSE),"")</f>
        <v/>
      </c>
      <c r="AO96" s="708" t="str">
        <f t="shared" si="27"/>
        <v/>
      </c>
      <c r="AP96" s="710" t="str">
        <f t="shared" si="28"/>
        <v/>
      </c>
      <c r="AQ96" s="710" t="str">
        <f t="shared" si="29"/>
        <v>キャリアパス要件Ⅰ・Ⅱ_</v>
      </c>
      <c r="AR96" s="661" t="str">
        <f t="shared" si="30"/>
        <v>入力済</v>
      </c>
      <c r="AS96" s="708" t="str">
        <f t="shared" si="31"/>
        <v/>
      </c>
      <c r="AT96" s="661" t="str">
        <f t="shared" si="32"/>
        <v>入力済</v>
      </c>
      <c r="AU96" s="661" t="str">
        <f t="shared" si="33"/>
        <v/>
      </c>
      <c r="AV96" s="661" t="str">
        <f t="shared" si="34"/>
        <v/>
      </c>
      <c r="AW96" s="708" t="str">
        <f t="shared" si="35"/>
        <v/>
      </c>
      <c r="AX96" s="708" t="str">
        <f t="shared" si="36"/>
        <v>入力済</v>
      </c>
      <c r="AY96" s="661" t="str">
        <f>IFERROR(VLOOKUP(K96,'【参考】数式用'!$AR$3:$AS$49,2,FALSE),"")</f>
        <v/>
      </c>
      <c r="AZ96" s="708" t="str">
        <f t="shared" si="37"/>
        <v/>
      </c>
      <c r="BA96" s="656" t="str">
        <f t="shared" si="38"/>
        <v>入力済</v>
      </c>
      <c r="BB96" s="661" t="str">
        <f>IFERROR(VLOOKUP(K96,'【参考】数式用'!$AX$3:$AY$56,2,FALSE),"")</f>
        <v/>
      </c>
      <c r="BC96" s="708" t="str">
        <f t="shared" si="39"/>
        <v/>
      </c>
      <c r="BD96" s="656" t="str">
        <f t="shared" si="40"/>
        <v>入力済</v>
      </c>
      <c r="BE96" s="656" t="str">
        <f t="shared" si="41"/>
        <v/>
      </c>
      <c r="BF96" s="656" t="str">
        <f t="shared" si="42"/>
        <v/>
      </c>
      <c r="BG96" s="656" t="str">
        <f t="shared" si="43"/>
        <v/>
      </c>
      <c r="BH96" s="656" t="str">
        <f t="shared" si="44"/>
        <v/>
      </c>
      <c r="BI96" s="656" t="str">
        <f t="shared" si="45"/>
        <v/>
      </c>
      <c r="BM96" s="680" t="e">
        <f>VLOOKUP(K96,'【参考】数式用'!$A$2:$O$57,15,FALSE)</f>
        <v>#N/A</v>
      </c>
    </row>
    <row r="97" spans="1:65"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IF(AND(基本情報入力シート!AG125="",基本情報入力シート!AG125=""),"",基本情報入力シート!AG125)</f>
        <v/>
      </c>
      <c r="N97" s="569"/>
      <c r="O97" s="574" t="str">
        <f>IFERROR(VLOOKUP(K97,'【参考】数式用'!$A$2:$M$57,MATCH(N97,'【参考】数式用'!$G$3:$M$3,0)+6,0),"")</f>
        <v/>
      </c>
      <c r="P97" s="581" t="s">
        <v>543</v>
      </c>
      <c r="Q97" s="586"/>
      <c r="R97" s="588" t="s">
        <v>75</v>
      </c>
      <c r="S97" s="586"/>
      <c r="T97" s="588" t="s">
        <v>159</v>
      </c>
      <c r="U97" s="586"/>
      <c r="V97" s="588" t="s">
        <v>75</v>
      </c>
      <c r="W97" s="586"/>
      <c r="X97" s="588" t="s">
        <v>10</v>
      </c>
      <c r="Y97" s="588" t="s">
        <v>161</v>
      </c>
      <c r="Z97" s="588" t="str">
        <f t="shared" si="23"/>
        <v/>
      </c>
      <c r="AA97" s="592" t="s">
        <v>6</v>
      </c>
      <c r="AB97" s="597" t="str">
        <f t="shared" si="24"/>
        <v/>
      </c>
      <c r="AC97" s="602" t="str">
        <f>IFERROR(ROUNDDOWN(ROUNDDOWN(ROUND(L97*VLOOKUP(K97,'【参考】数式用'!$A$2:$M$57,MATCH("処遇改善加算Ⅳ",'【参考】数式用'!$G$3:$M$3,0)+6,0),0)*M97,0)*Z97*0.5,0),"")</f>
        <v/>
      </c>
      <c r="AD97" s="608"/>
      <c r="AE97" s="616"/>
      <c r="AF97" s="616"/>
      <c r="AG97" s="622"/>
      <c r="AH97" s="625"/>
      <c r="AI97" s="706"/>
      <c r="AJ97" s="632"/>
      <c r="AK97" s="647" t="str">
        <f t="shared" si="25"/>
        <v/>
      </c>
      <c r="AL97" s="650" t="str">
        <f t="shared" si="26"/>
        <v/>
      </c>
      <c r="AM97" s="653"/>
      <c r="AN97" s="708" t="str">
        <f>IFERROR(VLOOKUP(K97,'【参考】数式用'!$A$2:$N$57,14,FALSE),"")</f>
        <v/>
      </c>
      <c r="AO97" s="708" t="str">
        <f t="shared" si="27"/>
        <v/>
      </c>
      <c r="AP97" s="710" t="str">
        <f t="shared" si="28"/>
        <v/>
      </c>
      <c r="AQ97" s="710" t="str">
        <f t="shared" si="29"/>
        <v>キャリアパス要件Ⅰ・Ⅱ_</v>
      </c>
      <c r="AR97" s="661" t="str">
        <f t="shared" si="30"/>
        <v>入力済</v>
      </c>
      <c r="AS97" s="708" t="str">
        <f t="shared" si="31"/>
        <v/>
      </c>
      <c r="AT97" s="661" t="str">
        <f t="shared" si="32"/>
        <v>入力済</v>
      </c>
      <c r="AU97" s="661" t="str">
        <f t="shared" si="33"/>
        <v/>
      </c>
      <c r="AV97" s="661" t="str">
        <f t="shared" si="34"/>
        <v/>
      </c>
      <c r="AW97" s="708" t="str">
        <f t="shared" si="35"/>
        <v/>
      </c>
      <c r="AX97" s="708" t="str">
        <f t="shared" si="36"/>
        <v>入力済</v>
      </c>
      <c r="AY97" s="661" t="str">
        <f>IFERROR(VLOOKUP(K97,'【参考】数式用'!$AR$3:$AS$49,2,FALSE),"")</f>
        <v/>
      </c>
      <c r="AZ97" s="708" t="str">
        <f t="shared" si="37"/>
        <v/>
      </c>
      <c r="BA97" s="656" t="str">
        <f t="shared" si="38"/>
        <v>入力済</v>
      </c>
      <c r="BB97" s="661" t="str">
        <f>IFERROR(VLOOKUP(K97,'【参考】数式用'!$AX$3:$AY$56,2,FALSE),"")</f>
        <v/>
      </c>
      <c r="BC97" s="708" t="str">
        <f t="shared" si="39"/>
        <v/>
      </c>
      <c r="BD97" s="656" t="str">
        <f t="shared" si="40"/>
        <v>入力済</v>
      </c>
      <c r="BE97" s="656" t="str">
        <f t="shared" si="41"/>
        <v/>
      </c>
      <c r="BF97" s="656" t="str">
        <f t="shared" si="42"/>
        <v/>
      </c>
      <c r="BG97" s="656" t="str">
        <f t="shared" si="43"/>
        <v/>
      </c>
      <c r="BH97" s="656" t="str">
        <f t="shared" si="44"/>
        <v/>
      </c>
      <c r="BI97" s="656" t="str">
        <f t="shared" si="45"/>
        <v/>
      </c>
      <c r="BM97" s="680" t="e">
        <f>VLOOKUP(K97,'【参考】数式用'!$A$2:$O$57,15,FALSE)</f>
        <v>#N/A</v>
      </c>
    </row>
    <row r="98" spans="1:65"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IF(AND(基本情報入力シート!AG126="",基本情報入力シート!AG126=""),"",基本情報入力シート!AG126)</f>
        <v/>
      </c>
      <c r="N98" s="569"/>
      <c r="O98" s="574" t="str">
        <f>IFERROR(VLOOKUP(K98,'【参考】数式用'!$A$2:$M$57,MATCH(N98,'【参考】数式用'!$G$3:$M$3,0)+6,0),"")</f>
        <v/>
      </c>
      <c r="P98" s="581" t="s">
        <v>543</v>
      </c>
      <c r="Q98" s="586"/>
      <c r="R98" s="588" t="s">
        <v>75</v>
      </c>
      <c r="S98" s="586"/>
      <c r="T98" s="588" t="s">
        <v>159</v>
      </c>
      <c r="U98" s="586"/>
      <c r="V98" s="588" t="s">
        <v>75</v>
      </c>
      <c r="W98" s="586"/>
      <c r="X98" s="588" t="s">
        <v>10</v>
      </c>
      <c r="Y98" s="588" t="s">
        <v>161</v>
      </c>
      <c r="Z98" s="588" t="str">
        <f t="shared" si="23"/>
        <v/>
      </c>
      <c r="AA98" s="592" t="s">
        <v>6</v>
      </c>
      <c r="AB98" s="597" t="str">
        <f t="shared" si="24"/>
        <v/>
      </c>
      <c r="AC98" s="602" t="str">
        <f>IFERROR(ROUNDDOWN(ROUNDDOWN(ROUND(L98*VLOOKUP(K98,'【参考】数式用'!$A$2:$M$57,MATCH("処遇改善加算Ⅳ",'【参考】数式用'!$G$3:$M$3,0)+6,0),0)*M98,0)*Z98*0.5,0),"")</f>
        <v/>
      </c>
      <c r="AD98" s="608"/>
      <c r="AE98" s="616"/>
      <c r="AF98" s="616"/>
      <c r="AG98" s="622"/>
      <c r="AH98" s="625"/>
      <c r="AI98" s="706"/>
      <c r="AJ98" s="632"/>
      <c r="AK98" s="647" t="str">
        <f t="shared" si="25"/>
        <v/>
      </c>
      <c r="AL98" s="650" t="str">
        <f t="shared" si="26"/>
        <v/>
      </c>
      <c r="AM98" s="653"/>
      <c r="AN98" s="708" t="str">
        <f>IFERROR(VLOOKUP(K98,'【参考】数式用'!$A$2:$N$57,14,FALSE),"")</f>
        <v/>
      </c>
      <c r="AO98" s="708" t="str">
        <f t="shared" si="27"/>
        <v/>
      </c>
      <c r="AP98" s="710" t="str">
        <f t="shared" si="28"/>
        <v/>
      </c>
      <c r="AQ98" s="710" t="str">
        <f t="shared" si="29"/>
        <v>キャリアパス要件Ⅰ・Ⅱ_</v>
      </c>
      <c r="AR98" s="661" t="str">
        <f t="shared" si="30"/>
        <v>入力済</v>
      </c>
      <c r="AS98" s="708" t="str">
        <f t="shared" si="31"/>
        <v/>
      </c>
      <c r="AT98" s="661" t="str">
        <f t="shared" si="32"/>
        <v>入力済</v>
      </c>
      <c r="AU98" s="661" t="str">
        <f t="shared" si="33"/>
        <v/>
      </c>
      <c r="AV98" s="661" t="str">
        <f t="shared" si="34"/>
        <v/>
      </c>
      <c r="AW98" s="708" t="str">
        <f t="shared" si="35"/>
        <v/>
      </c>
      <c r="AX98" s="708" t="str">
        <f t="shared" si="36"/>
        <v>入力済</v>
      </c>
      <c r="AY98" s="661" t="str">
        <f>IFERROR(VLOOKUP(K98,'【参考】数式用'!$AR$3:$AS$49,2,FALSE),"")</f>
        <v/>
      </c>
      <c r="AZ98" s="708" t="str">
        <f t="shared" si="37"/>
        <v/>
      </c>
      <c r="BA98" s="656" t="str">
        <f t="shared" si="38"/>
        <v>入力済</v>
      </c>
      <c r="BB98" s="661" t="str">
        <f>IFERROR(VLOOKUP(K98,'【参考】数式用'!$AX$3:$AY$56,2,FALSE),"")</f>
        <v/>
      </c>
      <c r="BC98" s="708" t="str">
        <f t="shared" si="39"/>
        <v/>
      </c>
      <c r="BD98" s="656" t="str">
        <f t="shared" si="40"/>
        <v>入力済</v>
      </c>
      <c r="BE98" s="656" t="str">
        <f t="shared" si="41"/>
        <v/>
      </c>
      <c r="BF98" s="656" t="str">
        <f t="shared" si="42"/>
        <v/>
      </c>
      <c r="BG98" s="656" t="str">
        <f t="shared" si="43"/>
        <v/>
      </c>
      <c r="BH98" s="656" t="str">
        <f t="shared" si="44"/>
        <v/>
      </c>
      <c r="BI98" s="656" t="str">
        <f t="shared" si="45"/>
        <v/>
      </c>
      <c r="BM98" s="680" t="e">
        <f>VLOOKUP(K98,'【参考】数式用'!$A$2:$O$57,15,FALSE)</f>
        <v>#N/A</v>
      </c>
    </row>
    <row r="99" spans="1:65"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IF(AND(基本情報入力シート!AG127="",基本情報入力シート!AG127=""),"",基本情報入力シート!AG127)</f>
        <v/>
      </c>
      <c r="N99" s="569"/>
      <c r="O99" s="574" t="str">
        <f>IFERROR(VLOOKUP(K99,'【参考】数式用'!$A$2:$M$57,MATCH(N99,'【参考】数式用'!$G$3:$M$3,0)+6,0),"")</f>
        <v/>
      </c>
      <c r="P99" s="581" t="s">
        <v>543</v>
      </c>
      <c r="Q99" s="586"/>
      <c r="R99" s="588" t="s">
        <v>75</v>
      </c>
      <c r="S99" s="586"/>
      <c r="T99" s="588" t="s">
        <v>159</v>
      </c>
      <c r="U99" s="586"/>
      <c r="V99" s="588" t="s">
        <v>75</v>
      </c>
      <c r="W99" s="586"/>
      <c r="X99" s="588" t="s">
        <v>722</v>
      </c>
      <c r="Y99" s="588" t="s">
        <v>161</v>
      </c>
      <c r="Z99" s="588" t="str">
        <f t="shared" si="23"/>
        <v/>
      </c>
      <c r="AA99" s="592" t="s">
        <v>6</v>
      </c>
      <c r="AB99" s="597" t="str">
        <f t="shared" si="24"/>
        <v/>
      </c>
      <c r="AC99" s="602" t="str">
        <f>IFERROR(ROUNDDOWN(ROUNDDOWN(ROUND(L99*VLOOKUP(K99,'【参考】数式用'!$A$2:$M$57,MATCH("処遇改善加算Ⅳ",'【参考】数式用'!$G$3:$M$3,0)+6,0),0)*M99,0)*Z99*0.5,0),"")</f>
        <v/>
      </c>
      <c r="AD99" s="608"/>
      <c r="AE99" s="616"/>
      <c r="AF99" s="616"/>
      <c r="AG99" s="622"/>
      <c r="AH99" s="625"/>
      <c r="AI99" s="706"/>
      <c r="AJ99" s="632"/>
      <c r="AK99" s="647" t="str">
        <f t="shared" si="25"/>
        <v/>
      </c>
      <c r="AL99" s="650" t="str">
        <f t="shared" si="26"/>
        <v/>
      </c>
      <c r="AM99" s="653"/>
      <c r="AN99" s="708" t="str">
        <f>IFERROR(VLOOKUP(K99,'【参考】数式用'!$A$2:$N$57,14,FALSE),"")</f>
        <v/>
      </c>
      <c r="AO99" s="708" t="str">
        <f t="shared" si="27"/>
        <v/>
      </c>
      <c r="AP99" s="710" t="str">
        <f t="shared" si="28"/>
        <v/>
      </c>
      <c r="AQ99" s="710" t="str">
        <f t="shared" si="29"/>
        <v>キャリアパス要件Ⅰ・Ⅱ_</v>
      </c>
      <c r="AR99" s="661" t="str">
        <f t="shared" si="30"/>
        <v>入力済</v>
      </c>
      <c r="AS99" s="708" t="str">
        <f t="shared" si="31"/>
        <v/>
      </c>
      <c r="AT99" s="661" t="str">
        <f t="shared" si="32"/>
        <v>入力済</v>
      </c>
      <c r="AU99" s="661" t="str">
        <f t="shared" si="33"/>
        <v/>
      </c>
      <c r="AV99" s="661" t="str">
        <f t="shared" si="34"/>
        <v/>
      </c>
      <c r="AW99" s="708" t="str">
        <f t="shared" si="35"/>
        <v/>
      </c>
      <c r="AX99" s="708" t="str">
        <f t="shared" si="36"/>
        <v>入力済</v>
      </c>
      <c r="AY99" s="661" t="str">
        <f>IFERROR(VLOOKUP(K99,'【参考】数式用'!$AR$3:$AS$49,2,FALSE),"")</f>
        <v/>
      </c>
      <c r="AZ99" s="708" t="str">
        <f t="shared" si="37"/>
        <v/>
      </c>
      <c r="BA99" s="656" t="str">
        <f t="shared" si="38"/>
        <v>入力済</v>
      </c>
      <c r="BB99" s="661" t="str">
        <f>IFERROR(VLOOKUP(K99,'【参考】数式用'!$AX$3:$AY$56,2,FALSE),"")</f>
        <v/>
      </c>
      <c r="BC99" s="708" t="str">
        <f t="shared" si="39"/>
        <v/>
      </c>
      <c r="BD99" s="656" t="str">
        <f t="shared" si="40"/>
        <v>入力済</v>
      </c>
      <c r="BE99" s="656" t="str">
        <f t="shared" si="41"/>
        <v/>
      </c>
      <c r="BF99" s="656" t="str">
        <f t="shared" si="42"/>
        <v/>
      </c>
      <c r="BG99" s="656" t="str">
        <f t="shared" si="43"/>
        <v/>
      </c>
      <c r="BH99" s="656" t="str">
        <f t="shared" si="44"/>
        <v/>
      </c>
      <c r="BI99" s="656" t="str">
        <f t="shared" si="45"/>
        <v/>
      </c>
      <c r="BM99" s="680" t="e">
        <f>VLOOKUP(K99,'【参考】数式用'!$A$2:$O$57,15,FALSE)</f>
        <v>#N/A</v>
      </c>
    </row>
    <row r="100" spans="1:65"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IF(AND(基本情報入力シート!AG128="",基本情報入力シート!AG128=""),"",基本情報入力シート!AG128)</f>
        <v/>
      </c>
      <c r="N100" s="569"/>
      <c r="O100" s="574" t="str">
        <f>IFERROR(VLOOKUP(K100,'【参考】数式用'!$A$2:$M$57,MATCH(N100,'【参考】数式用'!$G$3:$M$3,0)+6,0),"")</f>
        <v/>
      </c>
      <c r="P100" s="581" t="s">
        <v>543</v>
      </c>
      <c r="Q100" s="586"/>
      <c r="R100" s="588" t="s">
        <v>75</v>
      </c>
      <c r="S100" s="586"/>
      <c r="T100" s="588" t="s">
        <v>159</v>
      </c>
      <c r="U100" s="586"/>
      <c r="V100" s="588" t="s">
        <v>75</v>
      </c>
      <c r="W100" s="586"/>
      <c r="X100" s="588" t="s">
        <v>722</v>
      </c>
      <c r="Y100" s="588" t="s">
        <v>161</v>
      </c>
      <c r="Z100" s="588" t="str">
        <f t="shared" si="23"/>
        <v/>
      </c>
      <c r="AA100" s="592" t="s">
        <v>6</v>
      </c>
      <c r="AB100" s="597" t="str">
        <f t="shared" si="24"/>
        <v/>
      </c>
      <c r="AC100" s="602" t="str">
        <f>IFERROR(ROUNDDOWN(ROUNDDOWN(ROUND(L100*VLOOKUP(K100,'【参考】数式用'!$A$2:$M$57,MATCH("処遇改善加算Ⅳ",'【参考】数式用'!$G$3:$M$3,0)+6,0),0)*M100,0)*Z100*0.5,0),"")</f>
        <v/>
      </c>
      <c r="AD100" s="608"/>
      <c r="AE100" s="616"/>
      <c r="AF100" s="616"/>
      <c r="AG100" s="622"/>
      <c r="AH100" s="625"/>
      <c r="AI100" s="706"/>
      <c r="AJ100" s="632"/>
      <c r="AK100" s="647" t="str">
        <f t="shared" si="25"/>
        <v/>
      </c>
      <c r="AL100" s="650" t="str">
        <f t="shared" si="26"/>
        <v/>
      </c>
      <c r="AM100" s="653"/>
      <c r="AN100" s="708" t="str">
        <f>IFERROR(VLOOKUP(K100,'【参考】数式用'!$A$2:$N$57,14,FALSE),"")</f>
        <v/>
      </c>
      <c r="AO100" s="708" t="str">
        <f t="shared" si="27"/>
        <v/>
      </c>
      <c r="AP100" s="710" t="str">
        <f t="shared" si="28"/>
        <v/>
      </c>
      <c r="AQ100" s="710" t="str">
        <f t="shared" si="29"/>
        <v>キャリアパス要件Ⅰ・Ⅱ_</v>
      </c>
      <c r="AR100" s="661" t="str">
        <f t="shared" si="30"/>
        <v>入力済</v>
      </c>
      <c r="AS100" s="708" t="str">
        <f t="shared" si="31"/>
        <v/>
      </c>
      <c r="AT100" s="661" t="str">
        <f t="shared" si="32"/>
        <v>入力済</v>
      </c>
      <c r="AU100" s="661" t="str">
        <f t="shared" si="33"/>
        <v/>
      </c>
      <c r="AV100" s="661" t="str">
        <f t="shared" si="34"/>
        <v/>
      </c>
      <c r="AW100" s="708" t="str">
        <f t="shared" si="35"/>
        <v/>
      </c>
      <c r="AX100" s="708" t="str">
        <f t="shared" si="36"/>
        <v>入力済</v>
      </c>
      <c r="AY100" s="661" t="str">
        <f>IFERROR(VLOOKUP(K100,'【参考】数式用'!$AR$3:$AS$49,2,FALSE),"")</f>
        <v/>
      </c>
      <c r="AZ100" s="708" t="str">
        <f t="shared" si="37"/>
        <v/>
      </c>
      <c r="BA100" s="656" t="str">
        <f t="shared" si="38"/>
        <v>入力済</v>
      </c>
      <c r="BB100" s="661" t="str">
        <f>IFERROR(VLOOKUP(K100,'【参考】数式用'!$AX$3:$AY$56,2,FALSE),"")</f>
        <v/>
      </c>
      <c r="BC100" s="708" t="str">
        <f t="shared" si="39"/>
        <v/>
      </c>
      <c r="BD100" s="656" t="str">
        <f t="shared" si="40"/>
        <v>入力済</v>
      </c>
      <c r="BE100" s="656" t="str">
        <f t="shared" si="41"/>
        <v/>
      </c>
      <c r="BF100" s="656" t="str">
        <f t="shared" si="42"/>
        <v/>
      </c>
      <c r="BG100" s="656" t="str">
        <f t="shared" si="43"/>
        <v/>
      </c>
      <c r="BH100" s="656" t="str">
        <f t="shared" si="44"/>
        <v/>
      </c>
      <c r="BI100" s="656" t="str">
        <f t="shared" si="45"/>
        <v/>
      </c>
      <c r="BM100" s="680" t="e">
        <f>VLOOKUP(K100,'【参考】数式用'!$A$2:$O$57,15,FALSE)</f>
        <v>#N/A</v>
      </c>
    </row>
    <row r="101" spans="1:65"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IF(AND(基本情報入力シート!AG129="",基本情報入力シート!AG129=""),"",基本情報入力シート!AG129)</f>
        <v/>
      </c>
      <c r="N101" s="569"/>
      <c r="O101" s="574" t="str">
        <f>IFERROR(VLOOKUP(K101,'【参考】数式用'!$A$2:$M$57,MATCH(N101,'【参考】数式用'!$G$3:$M$3,0)+6,0),"")</f>
        <v/>
      </c>
      <c r="P101" s="581" t="s">
        <v>543</v>
      </c>
      <c r="Q101" s="586"/>
      <c r="R101" s="588" t="s">
        <v>75</v>
      </c>
      <c r="S101" s="586"/>
      <c r="T101" s="588" t="s">
        <v>159</v>
      </c>
      <c r="U101" s="586"/>
      <c r="V101" s="588" t="s">
        <v>75</v>
      </c>
      <c r="W101" s="586"/>
      <c r="X101" s="588" t="s">
        <v>722</v>
      </c>
      <c r="Y101" s="588" t="s">
        <v>161</v>
      </c>
      <c r="Z101" s="588" t="str">
        <f t="shared" si="23"/>
        <v/>
      </c>
      <c r="AA101" s="592" t="s">
        <v>6</v>
      </c>
      <c r="AB101" s="597" t="str">
        <f t="shared" si="24"/>
        <v/>
      </c>
      <c r="AC101" s="602" t="str">
        <f>IFERROR(ROUNDDOWN(ROUNDDOWN(ROUND(L101*VLOOKUP(K101,'【参考】数式用'!$A$2:$M$57,MATCH("処遇改善加算Ⅳ",'【参考】数式用'!$G$3:$M$3,0)+6,0),0)*M101,0)*Z101*0.5,0),"")</f>
        <v/>
      </c>
      <c r="AD101" s="608"/>
      <c r="AE101" s="616"/>
      <c r="AF101" s="616"/>
      <c r="AG101" s="622"/>
      <c r="AH101" s="625"/>
      <c r="AI101" s="706"/>
      <c r="AJ101" s="632"/>
      <c r="AK101" s="647" t="str">
        <f t="shared" si="25"/>
        <v/>
      </c>
      <c r="AL101" s="650" t="str">
        <f t="shared" si="26"/>
        <v/>
      </c>
      <c r="AM101" s="653"/>
      <c r="AN101" s="708" t="str">
        <f>IFERROR(VLOOKUP(K101,'【参考】数式用'!$A$2:$N$57,14,FALSE),"")</f>
        <v/>
      </c>
      <c r="AO101" s="708" t="str">
        <f t="shared" si="27"/>
        <v/>
      </c>
      <c r="AP101" s="710" t="str">
        <f t="shared" si="28"/>
        <v/>
      </c>
      <c r="AQ101" s="710" t="str">
        <f t="shared" si="29"/>
        <v>キャリアパス要件Ⅰ・Ⅱ_</v>
      </c>
      <c r="AR101" s="661" t="str">
        <f t="shared" si="30"/>
        <v>入力済</v>
      </c>
      <c r="AS101" s="708" t="str">
        <f t="shared" si="31"/>
        <v/>
      </c>
      <c r="AT101" s="661" t="str">
        <f t="shared" si="32"/>
        <v>入力済</v>
      </c>
      <c r="AU101" s="661" t="str">
        <f t="shared" si="33"/>
        <v/>
      </c>
      <c r="AV101" s="661" t="str">
        <f t="shared" si="34"/>
        <v/>
      </c>
      <c r="AW101" s="708" t="str">
        <f t="shared" si="35"/>
        <v/>
      </c>
      <c r="AX101" s="708" t="str">
        <f t="shared" si="36"/>
        <v>入力済</v>
      </c>
      <c r="AY101" s="661" t="str">
        <f>IFERROR(VLOOKUP(K101,'【参考】数式用'!$AR$3:$AS$49,2,FALSE),"")</f>
        <v/>
      </c>
      <c r="AZ101" s="708" t="str">
        <f t="shared" si="37"/>
        <v/>
      </c>
      <c r="BA101" s="656" t="str">
        <f t="shared" si="38"/>
        <v>入力済</v>
      </c>
      <c r="BB101" s="661" t="str">
        <f>IFERROR(VLOOKUP(K101,'【参考】数式用'!$AX$3:$AY$56,2,FALSE),"")</f>
        <v/>
      </c>
      <c r="BC101" s="708" t="str">
        <f t="shared" si="39"/>
        <v/>
      </c>
      <c r="BD101" s="656" t="str">
        <f t="shared" si="40"/>
        <v>入力済</v>
      </c>
      <c r="BE101" s="656" t="str">
        <f t="shared" si="41"/>
        <v/>
      </c>
      <c r="BF101" s="656" t="str">
        <f t="shared" si="42"/>
        <v/>
      </c>
      <c r="BG101" s="656" t="str">
        <f t="shared" si="43"/>
        <v/>
      </c>
      <c r="BH101" s="656" t="str">
        <f t="shared" si="44"/>
        <v/>
      </c>
      <c r="BI101" s="656" t="str">
        <f t="shared" si="45"/>
        <v/>
      </c>
      <c r="BM101" s="680" t="e">
        <f>VLOOKUP(K101,'【参考】数式用'!$A$2:$O$57,15,FALSE)</f>
        <v>#N/A</v>
      </c>
    </row>
    <row r="102" spans="1:65"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IF(AND(基本情報入力シート!AG130="",基本情報入力シート!AG130=""),"",基本情報入力シート!AG130)</f>
        <v/>
      </c>
      <c r="N102" s="569"/>
      <c r="O102" s="574" t="str">
        <f>IFERROR(VLOOKUP(K102,'【参考】数式用'!$A$2:$M$57,MATCH(N102,'【参考】数式用'!$G$3:$M$3,0)+6,0),"")</f>
        <v/>
      </c>
      <c r="P102" s="581" t="s">
        <v>543</v>
      </c>
      <c r="Q102" s="586"/>
      <c r="R102" s="588" t="s">
        <v>75</v>
      </c>
      <c r="S102" s="586"/>
      <c r="T102" s="588" t="s">
        <v>159</v>
      </c>
      <c r="U102" s="586"/>
      <c r="V102" s="588" t="s">
        <v>75</v>
      </c>
      <c r="W102" s="586"/>
      <c r="X102" s="588" t="s">
        <v>10</v>
      </c>
      <c r="Y102" s="588" t="s">
        <v>161</v>
      </c>
      <c r="Z102" s="588" t="str">
        <f t="shared" si="23"/>
        <v/>
      </c>
      <c r="AA102" s="592" t="s">
        <v>6</v>
      </c>
      <c r="AB102" s="597" t="str">
        <f t="shared" si="24"/>
        <v/>
      </c>
      <c r="AC102" s="602" t="str">
        <f>IFERROR(ROUNDDOWN(ROUNDDOWN(ROUND(L102*VLOOKUP(K102,'【参考】数式用'!$A$2:$M$57,MATCH("処遇改善加算Ⅳ",'【参考】数式用'!$G$3:$M$3,0)+6,0),0)*M102,0)*Z102*0.5,0),"")</f>
        <v/>
      </c>
      <c r="AD102" s="608"/>
      <c r="AE102" s="616"/>
      <c r="AF102" s="616"/>
      <c r="AG102" s="622"/>
      <c r="AH102" s="625"/>
      <c r="AI102" s="706"/>
      <c r="AJ102" s="632"/>
      <c r="AK102" s="647" t="str">
        <f t="shared" si="25"/>
        <v/>
      </c>
      <c r="AL102" s="650" t="str">
        <f t="shared" si="26"/>
        <v/>
      </c>
      <c r="AM102" s="653"/>
      <c r="AN102" s="708" t="str">
        <f>IFERROR(VLOOKUP(K102,'【参考】数式用'!$A$2:$N$57,14,FALSE),"")</f>
        <v/>
      </c>
      <c r="AO102" s="708" t="str">
        <f t="shared" si="27"/>
        <v/>
      </c>
      <c r="AP102" s="710" t="str">
        <f t="shared" si="28"/>
        <v/>
      </c>
      <c r="AQ102" s="710" t="str">
        <f t="shared" si="29"/>
        <v>キャリアパス要件Ⅰ・Ⅱ_</v>
      </c>
      <c r="AR102" s="661" t="str">
        <f t="shared" si="30"/>
        <v>入力済</v>
      </c>
      <c r="AS102" s="708" t="str">
        <f t="shared" si="31"/>
        <v/>
      </c>
      <c r="AT102" s="661" t="str">
        <f t="shared" si="32"/>
        <v>入力済</v>
      </c>
      <c r="AU102" s="661" t="str">
        <f t="shared" si="33"/>
        <v/>
      </c>
      <c r="AV102" s="661" t="str">
        <f t="shared" si="34"/>
        <v/>
      </c>
      <c r="AW102" s="708" t="str">
        <f t="shared" si="35"/>
        <v/>
      </c>
      <c r="AX102" s="708" t="str">
        <f t="shared" si="36"/>
        <v>入力済</v>
      </c>
      <c r="AY102" s="661" t="str">
        <f>IFERROR(VLOOKUP(K102,'【参考】数式用'!$AR$3:$AS$49,2,FALSE),"")</f>
        <v/>
      </c>
      <c r="AZ102" s="708" t="str">
        <f t="shared" si="37"/>
        <v/>
      </c>
      <c r="BA102" s="656" t="str">
        <f t="shared" si="38"/>
        <v>入力済</v>
      </c>
      <c r="BB102" s="661" t="str">
        <f>IFERROR(VLOOKUP(K102,'【参考】数式用'!$AX$3:$AY$56,2,FALSE),"")</f>
        <v/>
      </c>
      <c r="BC102" s="708" t="str">
        <f t="shared" si="39"/>
        <v/>
      </c>
      <c r="BD102" s="656" t="str">
        <f t="shared" si="40"/>
        <v>入力済</v>
      </c>
      <c r="BE102" s="656" t="str">
        <f t="shared" si="41"/>
        <v/>
      </c>
      <c r="BF102" s="656" t="str">
        <f t="shared" si="42"/>
        <v/>
      </c>
      <c r="BG102" s="656" t="str">
        <f t="shared" si="43"/>
        <v/>
      </c>
      <c r="BH102" s="656" t="str">
        <f t="shared" si="44"/>
        <v/>
      </c>
      <c r="BI102" s="656" t="str">
        <f t="shared" si="45"/>
        <v/>
      </c>
      <c r="BM102" s="680" t="e">
        <f>VLOOKUP(K102,'【参考】数式用'!$A$2:$O$57,15,FALSE)</f>
        <v>#N/A</v>
      </c>
    </row>
    <row r="103" spans="1:65"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IF(AND(基本情報入力シート!AG131="",基本情報入力シート!AG131=""),"",基本情報入力シート!AG131)</f>
        <v/>
      </c>
      <c r="N103" s="569"/>
      <c r="O103" s="574" t="str">
        <f>IFERROR(VLOOKUP(K103,'【参考】数式用'!$A$2:$M$57,MATCH(N103,'【参考】数式用'!$G$3:$M$3,0)+6,0),"")</f>
        <v/>
      </c>
      <c r="P103" s="581" t="s">
        <v>543</v>
      </c>
      <c r="Q103" s="586"/>
      <c r="R103" s="588" t="s">
        <v>75</v>
      </c>
      <c r="S103" s="586"/>
      <c r="T103" s="588" t="s">
        <v>159</v>
      </c>
      <c r="U103" s="586"/>
      <c r="V103" s="588" t="s">
        <v>75</v>
      </c>
      <c r="W103" s="586"/>
      <c r="X103" s="588" t="s">
        <v>722</v>
      </c>
      <c r="Y103" s="588" t="s">
        <v>161</v>
      </c>
      <c r="Z103" s="588" t="str">
        <f t="shared" si="23"/>
        <v/>
      </c>
      <c r="AA103" s="592" t="s">
        <v>6</v>
      </c>
      <c r="AB103" s="597" t="str">
        <f t="shared" si="24"/>
        <v/>
      </c>
      <c r="AC103" s="602" t="str">
        <f>IFERROR(ROUNDDOWN(ROUNDDOWN(ROUND(L103*VLOOKUP(K103,'【参考】数式用'!$A$2:$M$57,MATCH("処遇改善加算Ⅳ",'【参考】数式用'!$G$3:$M$3,0)+6,0),0)*M103,0)*Z103*0.5,0),"")</f>
        <v/>
      </c>
      <c r="AD103" s="608"/>
      <c r="AE103" s="616"/>
      <c r="AF103" s="616"/>
      <c r="AG103" s="622"/>
      <c r="AH103" s="625"/>
      <c r="AI103" s="706"/>
      <c r="AJ103" s="632"/>
      <c r="AK103" s="647" t="str">
        <f t="shared" si="25"/>
        <v/>
      </c>
      <c r="AL103" s="650" t="str">
        <f t="shared" si="26"/>
        <v/>
      </c>
      <c r="AM103" s="653"/>
      <c r="AN103" s="708" t="str">
        <f>IFERROR(VLOOKUP(K103,'【参考】数式用'!$A$2:$N$57,14,FALSE),"")</f>
        <v/>
      </c>
      <c r="AO103" s="708" t="str">
        <f t="shared" si="27"/>
        <v/>
      </c>
      <c r="AP103" s="710" t="str">
        <f t="shared" si="28"/>
        <v/>
      </c>
      <c r="AQ103" s="710" t="str">
        <f t="shared" si="29"/>
        <v>キャリアパス要件Ⅰ・Ⅱ_</v>
      </c>
      <c r="AR103" s="661" t="str">
        <f t="shared" si="30"/>
        <v>入力済</v>
      </c>
      <c r="AS103" s="708" t="str">
        <f t="shared" si="31"/>
        <v/>
      </c>
      <c r="AT103" s="661" t="str">
        <f t="shared" si="32"/>
        <v>入力済</v>
      </c>
      <c r="AU103" s="661" t="str">
        <f t="shared" si="33"/>
        <v/>
      </c>
      <c r="AV103" s="661" t="str">
        <f t="shared" si="34"/>
        <v/>
      </c>
      <c r="AW103" s="708" t="str">
        <f t="shared" si="35"/>
        <v/>
      </c>
      <c r="AX103" s="708" t="str">
        <f t="shared" si="36"/>
        <v>入力済</v>
      </c>
      <c r="AY103" s="661" t="str">
        <f>IFERROR(VLOOKUP(K103,'【参考】数式用'!$AR$3:$AS$49,2,FALSE),"")</f>
        <v/>
      </c>
      <c r="AZ103" s="708" t="str">
        <f t="shared" si="37"/>
        <v/>
      </c>
      <c r="BA103" s="656" t="str">
        <f t="shared" si="38"/>
        <v>入力済</v>
      </c>
      <c r="BB103" s="661" t="str">
        <f>IFERROR(VLOOKUP(K103,'【参考】数式用'!$AX$3:$AY$56,2,FALSE),"")</f>
        <v/>
      </c>
      <c r="BC103" s="708" t="str">
        <f t="shared" si="39"/>
        <v/>
      </c>
      <c r="BD103" s="656" t="str">
        <f t="shared" si="40"/>
        <v>入力済</v>
      </c>
      <c r="BE103" s="656" t="str">
        <f t="shared" si="41"/>
        <v/>
      </c>
      <c r="BF103" s="656" t="str">
        <f t="shared" si="42"/>
        <v/>
      </c>
      <c r="BG103" s="656" t="str">
        <f t="shared" si="43"/>
        <v/>
      </c>
      <c r="BH103" s="656" t="str">
        <f t="shared" si="44"/>
        <v/>
      </c>
      <c r="BI103" s="656" t="str">
        <f t="shared" si="45"/>
        <v/>
      </c>
      <c r="BM103" s="680" t="e">
        <f>VLOOKUP(K103,'【参考】数式用'!$A$2:$O$57,15,FALSE)</f>
        <v>#N/A</v>
      </c>
    </row>
    <row r="104" spans="1:65"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IF(AND(基本情報入力シート!AG132="",基本情報入力シート!AG132=""),"",基本情報入力シート!AG132)</f>
        <v/>
      </c>
      <c r="N104" s="569"/>
      <c r="O104" s="574" t="str">
        <f>IFERROR(VLOOKUP(K104,'【参考】数式用'!$A$2:$M$57,MATCH(N104,'【参考】数式用'!$G$3:$M$3,0)+6,0),"")</f>
        <v/>
      </c>
      <c r="P104" s="581" t="s">
        <v>543</v>
      </c>
      <c r="Q104" s="586"/>
      <c r="R104" s="588" t="s">
        <v>75</v>
      </c>
      <c r="S104" s="586"/>
      <c r="T104" s="588" t="s">
        <v>159</v>
      </c>
      <c r="U104" s="586"/>
      <c r="V104" s="588" t="s">
        <v>75</v>
      </c>
      <c r="W104" s="586"/>
      <c r="X104" s="588" t="s">
        <v>722</v>
      </c>
      <c r="Y104" s="588" t="s">
        <v>161</v>
      </c>
      <c r="Z104" s="588" t="str">
        <f t="shared" si="23"/>
        <v/>
      </c>
      <c r="AA104" s="592" t="s">
        <v>6</v>
      </c>
      <c r="AB104" s="597" t="str">
        <f t="shared" si="24"/>
        <v/>
      </c>
      <c r="AC104" s="602" t="str">
        <f>IFERROR(ROUNDDOWN(ROUNDDOWN(ROUND(L104*VLOOKUP(K104,'【参考】数式用'!$A$2:$M$57,MATCH("処遇改善加算Ⅳ",'【参考】数式用'!$G$3:$M$3,0)+6,0),0)*M104,0)*Z104*0.5,0),"")</f>
        <v/>
      </c>
      <c r="AD104" s="608"/>
      <c r="AE104" s="616"/>
      <c r="AF104" s="616"/>
      <c r="AG104" s="622"/>
      <c r="AH104" s="625"/>
      <c r="AI104" s="706"/>
      <c r="AJ104" s="632"/>
      <c r="AK104" s="647" t="str">
        <f t="shared" si="25"/>
        <v/>
      </c>
      <c r="AL104" s="650" t="str">
        <f t="shared" si="26"/>
        <v/>
      </c>
      <c r="AM104" s="653"/>
      <c r="AN104" s="708" t="str">
        <f>IFERROR(VLOOKUP(K104,'【参考】数式用'!$A$2:$N$57,14,FALSE),"")</f>
        <v/>
      </c>
      <c r="AO104" s="708" t="str">
        <f t="shared" si="27"/>
        <v/>
      </c>
      <c r="AP104" s="710" t="str">
        <f t="shared" si="28"/>
        <v/>
      </c>
      <c r="AQ104" s="710" t="str">
        <f t="shared" si="29"/>
        <v>キャリアパス要件Ⅰ・Ⅱ_</v>
      </c>
      <c r="AR104" s="661" t="str">
        <f t="shared" si="30"/>
        <v>入力済</v>
      </c>
      <c r="AS104" s="708" t="str">
        <f t="shared" si="31"/>
        <v/>
      </c>
      <c r="AT104" s="661" t="str">
        <f t="shared" si="32"/>
        <v>入力済</v>
      </c>
      <c r="AU104" s="661" t="str">
        <f t="shared" si="33"/>
        <v/>
      </c>
      <c r="AV104" s="661" t="str">
        <f t="shared" si="34"/>
        <v/>
      </c>
      <c r="AW104" s="708" t="str">
        <f t="shared" si="35"/>
        <v/>
      </c>
      <c r="AX104" s="708" t="str">
        <f t="shared" si="36"/>
        <v>入力済</v>
      </c>
      <c r="AY104" s="661" t="str">
        <f>IFERROR(VLOOKUP(K104,'【参考】数式用'!$AR$3:$AS$49,2,FALSE),"")</f>
        <v/>
      </c>
      <c r="AZ104" s="708" t="str">
        <f t="shared" si="37"/>
        <v/>
      </c>
      <c r="BA104" s="656" t="str">
        <f t="shared" si="38"/>
        <v>入力済</v>
      </c>
      <c r="BB104" s="661" t="str">
        <f>IFERROR(VLOOKUP(K104,'【参考】数式用'!$AX$3:$AY$56,2,FALSE),"")</f>
        <v/>
      </c>
      <c r="BC104" s="708" t="str">
        <f t="shared" si="39"/>
        <v/>
      </c>
      <c r="BD104" s="656" t="str">
        <f t="shared" si="40"/>
        <v>入力済</v>
      </c>
      <c r="BE104" s="656" t="str">
        <f t="shared" si="41"/>
        <v/>
      </c>
      <c r="BF104" s="656" t="str">
        <f t="shared" si="42"/>
        <v/>
      </c>
      <c r="BG104" s="656" t="str">
        <f t="shared" si="43"/>
        <v/>
      </c>
      <c r="BH104" s="656" t="str">
        <f t="shared" si="44"/>
        <v/>
      </c>
      <c r="BI104" s="656" t="str">
        <f t="shared" si="45"/>
        <v/>
      </c>
      <c r="BM104" s="680" t="e">
        <f>VLOOKUP(K104,'【参考】数式用'!$A$2:$O$57,15,FALSE)</f>
        <v>#N/A</v>
      </c>
    </row>
    <row r="105" spans="1:65"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IF(AND(基本情報入力シート!AG133="",基本情報入力シート!AG133=""),"",基本情報入力シート!AG133)</f>
        <v/>
      </c>
      <c r="N105" s="569"/>
      <c r="O105" s="574" t="str">
        <f>IFERROR(VLOOKUP(K105,'【参考】数式用'!$A$2:$M$57,MATCH(N105,'【参考】数式用'!$G$3:$M$3,0)+6,0),"")</f>
        <v/>
      </c>
      <c r="P105" s="581" t="s">
        <v>543</v>
      </c>
      <c r="Q105" s="586"/>
      <c r="R105" s="588" t="s">
        <v>75</v>
      </c>
      <c r="S105" s="586"/>
      <c r="T105" s="588" t="s">
        <v>159</v>
      </c>
      <c r="U105" s="586"/>
      <c r="V105" s="588" t="s">
        <v>75</v>
      </c>
      <c r="W105" s="586"/>
      <c r="X105" s="588" t="s">
        <v>722</v>
      </c>
      <c r="Y105" s="588" t="s">
        <v>161</v>
      </c>
      <c r="Z105" s="588" t="str">
        <f t="shared" si="23"/>
        <v/>
      </c>
      <c r="AA105" s="592" t="s">
        <v>6</v>
      </c>
      <c r="AB105" s="597" t="str">
        <f t="shared" si="24"/>
        <v/>
      </c>
      <c r="AC105" s="602" t="str">
        <f>IFERROR(ROUNDDOWN(ROUNDDOWN(ROUND(L105*VLOOKUP(K105,'【参考】数式用'!$A$2:$M$57,MATCH("処遇改善加算Ⅳ",'【参考】数式用'!$G$3:$M$3,0)+6,0),0)*M105,0)*Z105*0.5,0),"")</f>
        <v/>
      </c>
      <c r="AD105" s="608"/>
      <c r="AE105" s="616"/>
      <c r="AF105" s="616"/>
      <c r="AG105" s="622"/>
      <c r="AH105" s="625"/>
      <c r="AI105" s="706"/>
      <c r="AJ105" s="632"/>
      <c r="AK105" s="647" t="str">
        <f t="shared" si="25"/>
        <v/>
      </c>
      <c r="AL105" s="650" t="str">
        <f t="shared" si="26"/>
        <v/>
      </c>
      <c r="AM105" s="653"/>
      <c r="AN105" s="708" t="str">
        <f>IFERROR(VLOOKUP(K105,'【参考】数式用'!$A$2:$N$57,14,FALSE),"")</f>
        <v/>
      </c>
      <c r="AO105" s="708" t="str">
        <f t="shared" si="27"/>
        <v/>
      </c>
      <c r="AP105" s="710" t="str">
        <f t="shared" si="28"/>
        <v/>
      </c>
      <c r="AQ105" s="710" t="str">
        <f t="shared" si="29"/>
        <v>キャリアパス要件Ⅰ・Ⅱ_</v>
      </c>
      <c r="AR105" s="661" t="str">
        <f t="shared" si="30"/>
        <v>入力済</v>
      </c>
      <c r="AS105" s="708" t="str">
        <f t="shared" si="31"/>
        <v/>
      </c>
      <c r="AT105" s="661" t="str">
        <f t="shared" si="32"/>
        <v>入力済</v>
      </c>
      <c r="AU105" s="661" t="str">
        <f t="shared" si="33"/>
        <v/>
      </c>
      <c r="AV105" s="661" t="str">
        <f t="shared" si="34"/>
        <v/>
      </c>
      <c r="AW105" s="708" t="str">
        <f t="shared" si="35"/>
        <v/>
      </c>
      <c r="AX105" s="708" t="str">
        <f t="shared" si="36"/>
        <v>入力済</v>
      </c>
      <c r="AY105" s="661" t="str">
        <f>IFERROR(VLOOKUP(K105,'【参考】数式用'!$AR$3:$AS$49,2,FALSE),"")</f>
        <v/>
      </c>
      <c r="AZ105" s="708" t="str">
        <f t="shared" si="37"/>
        <v/>
      </c>
      <c r="BA105" s="656" t="str">
        <f t="shared" si="38"/>
        <v>入力済</v>
      </c>
      <c r="BB105" s="661" t="str">
        <f>IFERROR(VLOOKUP(K105,'【参考】数式用'!$AX$3:$AY$56,2,FALSE),"")</f>
        <v/>
      </c>
      <c r="BC105" s="708" t="str">
        <f t="shared" si="39"/>
        <v/>
      </c>
      <c r="BD105" s="656" t="str">
        <f t="shared" si="40"/>
        <v>入力済</v>
      </c>
      <c r="BE105" s="656" t="str">
        <f t="shared" si="41"/>
        <v/>
      </c>
      <c r="BF105" s="656" t="str">
        <f t="shared" si="42"/>
        <v/>
      </c>
      <c r="BG105" s="656" t="str">
        <f t="shared" si="43"/>
        <v/>
      </c>
      <c r="BH105" s="656" t="str">
        <f t="shared" si="44"/>
        <v/>
      </c>
      <c r="BI105" s="656" t="str">
        <f t="shared" si="45"/>
        <v/>
      </c>
      <c r="BM105" s="680" t="e">
        <f>VLOOKUP(K105,'【参考】数式用'!$A$2:$O$57,15,FALSE)</f>
        <v>#N/A</v>
      </c>
    </row>
    <row r="106" spans="1:65"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IF(AND(基本情報入力シート!AG134="",基本情報入力シート!AG134=""),"",基本情報入力シート!AG134)</f>
        <v/>
      </c>
      <c r="N106" s="569"/>
      <c r="O106" s="574" t="str">
        <f>IFERROR(VLOOKUP(K106,'【参考】数式用'!$A$2:$M$57,MATCH(N106,'【参考】数式用'!$G$3:$M$3,0)+6,0),"")</f>
        <v/>
      </c>
      <c r="P106" s="581" t="s">
        <v>543</v>
      </c>
      <c r="Q106" s="586"/>
      <c r="R106" s="588" t="s">
        <v>75</v>
      </c>
      <c r="S106" s="586"/>
      <c r="T106" s="588" t="s">
        <v>159</v>
      </c>
      <c r="U106" s="586"/>
      <c r="V106" s="588" t="s">
        <v>75</v>
      </c>
      <c r="W106" s="586"/>
      <c r="X106" s="588" t="s">
        <v>10</v>
      </c>
      <c r="Y106" s="588" t="s">
        <v>161</v>
      </c>
      <c r="Z106" s="588" t="str">
        <f t="shared" si="23"/>
        <v/>
      </c>
      <c r="AA106" s="592" t="s">
        <v>6</v>
      </c>
      <c r="AB106" s="597" t="str">
        <f t="shared" si="24"/>
        <v/>
      </c>
      <c r="AC106" s="602" t="str">
        <f>IFERROR(ROUNDDOWN(ROUNDDOWN(ROUND(L106*VLOOKUP(K106,'【参考】数式用'!$A$2:$M$57,MATCH("処遇改善加算Ⅳ",'【参考】数式用'!$G$3:$M$3,0)+6,0),0)*M106,0)*Z106*0.5,0),"")</f>
        <v/>
      </c>
      <c r="AD106" s="608"/>
      <c r="AE106" s="616"/>
      <c r="AF106" s="616"/>
      <c r="AG106" s="622"/>
      <c r="AH106" s="625"/>
      <c r="AI106" s="706"/>
      <c r="AJ106" s="632"/>
      <c r="AK106" s="647" t="str">
        <f t="shared" si="25"/>
        <v/>
      </c>
      <c r="AL106" s="650" t="str">
        <f t="shared" si="26"/>
        <v/>
      </c>
      <c r="AM106" s="653"/>
      <c r="AN106" s="708" t="str">
        <f>IFERROR(VLOOKUP(K106,'【参考】数式用'!$A$2:$N$57,14,FALSE),"")</f>
        <v/>
      </c>
      <c r="AO106" s="708" t="str">
        <f t="shared" si="27"/>
        <v/>
      </c>
      <c r="AP106" s="710" t="str">
        <f t="shared" si="28"/>
        <v/>
      </c>
      <c r="AQ106" s="710" t="str">
        <f t="shared" si="29"/>
        <v>キャリアパス要件Ⅰ・Ⅱ_</v>
      </c>
      <c r="AR106" s="661" t="str">
        <f t="shared" si="30"/>
        <v>入力済</v>
      </c>
      <c r="AS106" s="708" t="str">
        <f t="shared" si="31"/>
        <v/>
      </c>
      <c r="AT106" s="661" t="str">
        <f t="shared" si="32"/>
        <v>入力済</v>
      </c>
      <c r="AU106" s="661" t="str">
        <f t="shared" si="33"/>
        <v/>
      </c>
      <c r="AV106" s="661" t="str">
        <f t="shared" si="34"/>
        <v/>
      </c>
      <c r="AW106" s="708" t="str">
        <f t="shared" si="35"/>
        <v/>
      </c>
      <c r="AX106" s="708" t="str">
        <f t="shared" si="36"/>
        <v>入力済</v>
      </c>
      <c r="AY106" s="661" t="str">
        <f>IFERROR(VLOOKUP(K106,'【参考】数式用'!$AR$3:$AS$49,2,FALSE),"")</f>
        <v/>
      </c>
      <c r="AZ106" s="708" t="str">
        <f t="shared" si="37"/>
        <v/>
      </c>
      <c r="BA106" s="656" t="str">
        <f t="shared" si="38"/>
        <v>入力済</v>
      </c>
      <c r="BB106" s="661" t="str">
        <f>IFERROR(VLOOKUP(K106,'【参考】数式用'!$AX$3:$AY$56,2,FALSE),"")</f>
        <v/>
      </c>
      <c r="BC106" s="708" t="str">
        <f t="shared" si="39"/>
        <v/>
      </c>
      <c r="BD106" s="656" t="str">
        <f t="shared" si="40"/>
        <v>入力済</v>
      </c>
      <c r="BE106" s="656" t="str">
        <f t="shared" si="41"/>
        <v/>
      </c>
      <c r="BF106" s="656" t="str">
        <f t="shared" si="42"/>
        <v/>
      </c>
      <c r="BG106" s="656" t="str">
        <f t="shared" si="43"/>
        <v/>
      </c>
      <c r="BH106" s="656" t="str">
        <f t="shared" si="44"/>
        <v/>
      </c>
      <c r="BI106" s="656" t="str">
        <f t="shared" si="45"/>
        <v/>
      </c>
      <c r="BM106" s="680" t="e">
        <f>VLOOKUP(K106,'【参考】数式用'!$A$2:$O$57,15,FALSE)</f>
        <v>#N/A</v>
      </c>
    </row>
    <row r="107" spans="1:65"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IF(AND(基本情報入力シート!AG135="",基本情報入力シート!AG135=""),"",基本情報入力シート!AG135)</f>
        <v/>
      </c>
      <c r="N107" s="569"/>
      <c r="O107" s="574" t="str">
        <f>IFERROR(VLOOKUP(K107,'【参考】数式用'!$A$2:$M$57,MATCH(N107,'【参考】数式用'!$G$3:$M$3,0)+6,0),"")</f>
        <v/>
      </c>
      <c r="P107" s="581" t="s">
        <v>543</v>
      </c>
      <c r="Q107" s="586"/>
      <c r="R107" s="588" t="s">
        <v>75</v>
      </c>
      <c r="S107" s="586"/>
      <c r="T107" s="588" t="s">
        <v>159</v>
      </c>
      <c r="U107" s="586"/>
      <c r="V107" s="588" t="s">
        <v>75</v>
      </c>
      <c r="W107" s="586"/>
      <c r="X107" s="588" t="s">
        <v>10</v>
      </c>
      <c r="Y107" s="588" t="s">
        <v>161</v>
      </c>
      <c r="Z107" s="588" t="str">
        <f t="shared" si="23"/>
        <v/>
      </c>
      <c r="AA107" s="592" t="s">
        <v>6</v>
      </c>
      <c r="AB107" s="597" t="str">
        <f t="shared" si="24"/>
        <v/>
      </c>
      <c r="AC107" s="602" t="str">
        <f>IFERROR(ROUNDDOWN(ROUNDDOWN(ROUND(L107*VLOOKUP(K107,'【参考】数式用'!$A$2:$M$57,MATCH("処遇改善加算Ⅳ",'【参考】数式用'!$G$3:$M$3,0)+6,0),0)*M107,0)*Z107*0.5,0),"")</f>
        <v/>
      </c>
      <c r="AD107" s="608"/>
      <c r="AE107" s="616"/>
      <c r="AF107" s="616"/>
      <c r="AG107" s="622"/>
      <c r="AH107" s="625"/>
      <c r="AI107" s="706"/>
      <c r="AJ107" s="632"/>
      <c r="AK107" s="647" t="str">
        <f t="shared" si="25"/>
        <v/>
      </c>
      <c r="AL107" s="650" t="str">
        <f t="shared" si="26"/>
        <v/>
      </c>
      <c r="AM107" s="653"/>
      <c r="AN107" s="708" t="str">
        <f>IFERROR(VLOOKUP(K107,'【参考】数式用'!$A$2:$N$57,14,FALSE),"")</f>
        <v/>
      </c>
      <c r="AO107" s="708" t="str">
        <f t="shared" si="27"/>
        <v/>
      </c>
      <c r="AP107" s="710" t="str">
        <f t="shared" si="28"/>
        <v/>
      </c>
      <c r="AQ107" s="710" t="str">
        <f t="shared" si="29"/>
        <v>キャリアパス要件Ⅰ・Ⅱ_</v>
      </c>
      <c r="AR107" s="661" t="str">
        <f t="shared" si="30"/>
        <v>入力済</v>
      </c>
      <c r="AS107" s="708" t="str">
        <f t="shared" si="31"/>
        <v/>
      </c>
      <c r="AT107" s="661" t="str">
        <f t="shared" si="32"/>
        <v>入力済</v>
      </c>
      <c r="AU107" s="661" t="str">
        <f t="shared" si="33"/>
        <v/>
      </c>
      <c r="AV107" s="661" t="str">
        <f t="shared" si="34"/>
        <v/>
      </c>
      <c r="AW107" s="708" t="str">
        <f t="shared" si="35"/>
        <v/>
      </c>
      <c r="AX107" s="708" t="str">
        <f t="shared" si="36"/>
        <v>入力済</v>
      </c>
      <c r="AY107" s="661" t="str">
        <f>IFERROR(VLOOKUP(K107,'【参考】数式用'!$AR$3:$AS$49,2,FALSE),"")</f>
        <v/>
      </c>
      <c r="AZ107" s="708" t="str">
        <f t="shared" si="37"/>
        <v/>
      </c>
      <c r="BA107" s="656" t="str">
        <f t="shared" si="38"/>
        <v>入力済</v>
      </c>
      <c r="BB107" s="661" t="str">
        <f>IFERROR(VLOOKUP(K107,'【参考】数式用'!$AX$3:$AY$56,2,FALSE),"")</f>
        <v/>
      </c>
      <c r="BC107" s="708" t="str">
        <f t="shared" si="39"/>
        <v/>
      </c>
      <c r="BD107" s="656" t="str">
        <f t="shared" si="40"/>
        <v>入力済</v>
      </c>
      <c r="BE107" s="656" t="str">
        <f t="shared" si="41"/>
        <v/>
      </c>
      <c r="BF107" s="656" t="str">
        <f t="shared" si="42"/>
        <v/>
      </c>
      <c r="BG107" s="656" t="str">
        <f t="shared" si="43"/>
        <v/>
      </c>
      <c r="BH107" s="656" t="str">
        <f t="shared" si="44"/>
        <v/>
      </c>
      <c r="BI107" s="656" t="str">
        <f t="shared" si="45"/>
        <v/>
      </c>
      <c r="BM107" s="680" t="e">
        <f>VLOOKUP(K107,'【参考】数式用'!$A$2:$O$57,15,FALSE)</f>
        <v>#N/A</v>
      </c>
    </row>
    <row r="108" spans="1:65"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IF(AND(基本情報入力シート!AG136="",基本情報入力シート!AG136=""),"",基本情報入力シート!AG136)</f>
        <v/>
      </c>
      <c r="N108" s="569"/>
      <c r="O108" s="574" t="str">
        <f>IFERROR(VLOOKUP(K108,'【参考】数式用'!$A$2:$M$57,MATCH(N108,'【参考】数式用'!$G$3:$M$3,0)+6,0),"")</f>
        <v/>
      </c>
      <c r="P108" s="581" t="s">
        <v>543</v>
      </c>
      <c r="Q108" s="586"/>
      <c r="R108" s="588" t="s">
        <v>75</v>
      </c>
      <c r="S108" s="586"/>
      <c r="T108" s="588" t="s">
        <v>159</v>
      </c>
      <c r="U108" s="586"/>
      <c r="V108" s="588" t="s">
        <v>75</v>
      </c>
      <c r="W108" s="586"/>
      <c r="X108" s="588" t="s">
        <v>722</v>
      </c>
      <c r="Y108" s="588" t="s">
        <v>161</v>
      </c>
      <c r="Z108" s="588" t="str">
        <f t="shared" si="23"/>
        <v/>
      </c>
      <c r="AA108" s="592" t="s">
        <v>6</v>
      </c>
      <c r="AB108" s="597" t="str">
        <f t="shared" si="24"/>
        <v/>
      </c>
      <c r="AC108" s="602" t="str">
        <f>IFERROR(ROUNDDOWN(ROUNDDOWN(ROUND(L108*VLOOKUP(K108,'【参考】数式用'!$A$2:$M$57,MATCH("処遇改善加算Ⅳ",'【参考】数式用'!$G$3:$M$3,0)+6,0),0)*M108,0)*Z108*0.5,0),"")</f>
        <v/>
      </c>
      <c r="AD108" s="608"/>
      <c r="AE108" s="616"/>
      <c r="AF108" s="616"/>
      <c r="AG108" s="622"/>
      <c r="AH108" s="625"/>
      <c r="AI108" s="706"/>
      <c r="AJ108" s="632"/>
      <c r="AK108" s="647" t="str">
        <f t="shared" si="25"/>
        <v/>
      </c>
      <c r="AL108" s="650" t="str">
        <f t="shared" si="26"/>
        <v/>
      </c>
      <c r="AM108" s="653"/>
      <c r="AN108" s="708" t="str">
        <f>IFERROR(VLOOKUP(K108,'【参考】数式用'!$A$2:$N$57,14,FALSE),"")</f>
        <v/>
      </c>
      <c r="AO108" s="708" t="str">
        <f t="shared" si="27"/>
        <v/>
      </c>
      <c r="AP108" s="710" t="str">
        <f t="shared" si="28"/>
        <v/>
      </c>
      <c r="AQ108" s="710" t="str">
        <f t="shared" si="29"/>
        <v>キャリアパス要件Ⅰ・Ⅱ_</v>
      </c>
      <c r="AR108" s="661" t="str">
        <f t="shared" si="30"/>
        <v>入力済</v>
      </c>
      <c r="AS108" s="708" t="str">
        <f t="shared" si="31"/>
        <v/>
      </c>
      <c r="AT108" s="661" t="str">
        <f t="shared" si="32"/>
        <v>入力済</v>
      </c>
      <c r="AU108" s="661" t="str">
        <f t="shared" si="33"/>
        <v/>
      </c>
      <c r="AV108" s="661" t="str">
        <f t="shared" si="34"/>
        <v/>
      </c>
      <c r="AW108" s="708" t="str">
        <f t="shared" si="35"/>
        <v/>
      </c>
      <c r="AX108" s="708" t="str">
        <f t="shared" si="36"/>
        <v>入力済</v>
      </c>
      <c r="AY108" s="661" t="str">
        <f>IFERROR(VLOOKUP(K108,'【参考】数式用'!$AR$3:$AS$49,2,FALSE),"")</f>
        <v/>
      </c>
      <c r="AZ108" s="708" t="str">
        <f t="shared" si="37"/>
        <v/>
      </c>
      <c r="BA108" s="656" t="str">
        <f t="shared" si="38"/>
        <v>入力済</v>
      </c>
      <c r="BB108" s="661" t="str">
        <f>IFERROR(VLOOKUP(K108,'【参考】数式用'!$AX$3:$AY$56,2,FALSE),"")</f>
        <v/>
      </c>
      <c r="BC108" s="708" t="str">
        <f t="shared" si="39"/>
        <v/>
      </c>
      <c r="BD108" s="656" t="str">
        <f t="shared" si="40"/>
        <v>入力済</v>
      </c>
      <c r="BE108" s="656" t="str">
        <f t="shared" si="41"/>
        <v/>
      </c>
      <c r="BF108" s="656" t="str">
        <f t="shared" si="42"/>
        <v/>
      </c>
      <c r="BG108" s="656" t="str">
        <f t="shared" si="43"/>
        <v/>
      </c>
      <c r="BH108" s="656" t="str">
        <f t="shared" si="44"/>
        <v/>
      </c>
      <c r="BI108" s="656" t="str">
        <f t="shared" si="45"/>
        <v/>
      </c>
      <c r="BM108" s="680" t="e">
        <f>VLOOKUP(K108,'【参考】数式用'!$A$2:$O$57,15,FALSE)</f>
        <v>#N/A</v>
      </c>
    </row>
    <row r="109" spans="1:65"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IF(AND(基本情報入力シート!AG137="",基本情報入力シート!AG137=""),"",基本情報入力シート!AG137)</f>
        <v/>
      </c>
      <c r="N109" s="569"/>
      <c r="O109" s="574" t="str">
        <f>IFERROR(VLOOKUP(K109,'【参考】数式用'!$A$2:$M$57,MATCH(N109,'【参考】数式用'!$G$3:$M$3,0)+6,0),"")</f>
        <v/>
      </c>
      <c r="P109" s="581" t="s">
        <v>543</v>
      </c>
      <c r="Q109" s="586"/>
      <c r="R109" s="588" t="s">
        <v>75</v>
      </c>
      <c r="S109" s="586"/>
      <c r="T109" s="588" t="s">
        <v>159</v>
      </c>
      <c r="U109" s="586"/>
      <c r="V109" s="588" t="s">
        <v>75</v>
      </c>
      <c r="W109" s="586"/>
      <c r="X109" s="588" t="s">
        <v>722</v>
      </c>
      <c r="Y109" s="588" t="s">
        <v>161</v>
      </c>
      <c r="Z109" s="588" t="str">
        <f t="shared" si="23"/>
        <v/>
      </c>
      <c r="AA109" s="592" t="s">
        <v>6</v>
      </c>
      <c r="AB109" s="597" t="str">
        <f t="shared" si="24"/>
        <v/>
      </c>
      <c r="AC109" s="602" t="str">
        <f>IFERROR(ROUNDDOWN(ROUNDDOWN(ROUND(L109*VLOOKUP(K109,'【参考】数式用'!$A$2:$M$57,MATCH("処遇改善加算Ⅳ",'【参考】数式用'!$G$3:$M$3,0)+6,0),0)*M109,0)*Z109*0.5,0),"")</f>
        <v/>
      </c>
      <c r="AD109" s="608"/>
      <c r="AE109" s="616"/>
      <c r="AF109" s="616"/>
      <c r="AG109" s="622"/>
      <c r="AH109" s="625"/>
      <c r="AI109" s="706"/>
      <c r="AJ109" s="632"/>
      <c r="AK109" s="647" t="str">
        <f t="shared" si="25"/>
        <v/>
      </c>
      <c r="AL109" s="650" t="str">
        <f t="shared" si="26"/>
        <v/>
      </c>
      <c r="AM109" s="653"/>
      <c r="AN109" s="708" t="str">
        <f>IFERROR(VLOOKUP(K109,'【参考】数式用'!$A$2:$N$57,14,FALSE),"")</f>
        <v/>
      </c>
      <c r="AO109" s="708" t="str">
        <f t="shared" si="27"/>
        <v/>
      </c>
      <c r="AP109" s="710" t="str">
        <f t="shared" si="28"/>
        <v/>
      </c>
      <c r="AQ109" s="710" t="str">
        <f t="shared" si="29"/>
        <v>キャリアパス要件Ⅰ・Ⅱ_</v>
      </c>
      <c r="AR109" s="661" t="str">
        <f t="shared" si="30"/>
        <v>入力済</v>
      </c>
      <c r="AS109" s="708" t="str">
        <f t="shared" si="31"/>
        <v/>
      </c>
      <c r="AT109" s="661" t="str">
        <f t="shared" si="32"/>
        <v>入力済</v>
      </c>
      <c r="AU109" s="661" t="str">
        <f t="shared" si="33"/>
        <v/>
      </c>
      <c r="AV109" s="661" t="str">
        <f t="shared" si="34"/>
        <v/>
      </c>
      <c r="AW109" s="708" t="str">
        <f t="shared" si="35"/>
        <v/>
      </c>
      <c r="AX109" s="708" t="str">
        <f t="shared" si="36"/>
        <v>入力済</v>
      </c>
      <c r="AY109" s="661" t="str">
        <f>IFERROR(VLOOKUP(K109,'【参考】数式用'!$AR$3:$AS$49,2,FALSE),"")</f>
        <v/>
      </c>
      <c r="AZ109" s="708" t="str">
        <f t="shared" si="37"/>
        <v/>
      </c>
      <c r="BA109" s="656" t="str">
        <f t="shared" si="38"/>
        <v>入力済</v>
      </c>
      <c r="BB109" s="661" t="str">
        <f>IFERROR(VLOOKUP(K109,'【参考】数式用'!$AX$3:$AY$56,2,FALSE),"")</f>
        <v/>
      </c>
      <c r="BC109" s="708" t="str">
        <f t="shared" si="39"/>
        <v/>
      </c>
      <c r="BD109" s="656" t="str">
        <f t="shared" si="40"/>
        <v>入力済</v>
      </c>
      <c r="BE109" s="656" t="str">
        <f t="shared" si="41"/>
        <v/>
      </c>
      <c r="BF109" s="656" t="str">
        <f t="shared" si="42"/>
        <v/>
      </c>
      <c r="BG109" s="656" t="str">
        <f t="shared" si="43"/>
        <v/>
      </c>
      <c r="BH109" s="656" t="str">
        <f t="shared" si="44"/>
        <v/>
      </c>
      <c r="BI109" s="656" t="str">
        <f t="shared" si="45"/>
        <v/>
      </c>
      <c r="BM109" s="680" t="e">
        <f>VLOOKUP(K109,'【参考】数式用'!$A$2:$O$57,15,FALSE)</f>
        <v>#N/A</v>
      </c>
    </row>
    <row r="110" spans="1:65" ht="109.9" customHeight="1">
      <c r="A110" s="506">
        <v>99</v>
      </c>
      <c r="B110" s="515" t="str">
        <f>IF(基本情報入力シート!B138="","",基本情報入力シート!B138)</f>
        <v/>
      </c>
      <c r="C110" s="521"/>
      <c r="D110" s="521"/>
      <c r="E110" s="521"/>
      <c r="F110" s="528"/>
      <c r="G110" s="534" t="str">
        <f>IF(基本情報入力シート!L138="","",基本情報入力シート!L138)</f>
        <v/>
      </c>
      <c r="H110" s="534" t="str">
        <f>IF(基本情報入力シート!Q138="","",基本情報入力シート!Q138)</f>
        <v/>
      </c>
      <c r="I110" s="534" t="str">
        <f>IF(基本情報入力シート!V138="","",基本情報入力シート!V138)</f>
        <v/>
      </c>
      <c r="J110" s="534" t="str">
        <f>IF(基本情報入力シート!W138="","",基本情報入力シート!W138)</f>
        <v/>
      </c>
      <c r="K110" s="534" t="str">
        <f>IF(基本情報入力シート!Z138="","",基本情報入力シート!Z138)</f>
        <v/>
      </c>
      <c r="L110" s="553" t="str">
        <f>IF(基本情報入力シート!AF138=0,"",基本情報入力シート!AF138)</f>
        <v/>
      </c>
      <c r="M110" s="561" t="str">
        <f>IF(AND(基本情報入力シート!AG138="",基本情報入力シート!AG138=""),"",基本情報入力シート!AG138)</f>
        <v/>
      </c>
      <c r="N110" s="569"/>
      <c r="O110" s="574" t="str">
        <f>IFERROR(VLOOKUP(K110,'【参考】数式用'!$A$2:$M$57,MATCH(N110,'【参考】数式用'!$G$3:$M$3,0)+6,0),"")</f>
        <v/>
      </c>
      <c r="P110" s="581" t="s">
        <v>543</v>
      </c>
      <c r="Q110" s="586"/>
      <c r="R110" s="588" t="s">
        <v>75</v>
      </c>
      <c r="S110" s="586"/>
      <c r="T110" s="588" t="s">
        <v>159</v>
      </c>
      <c r="U110" s="586"/>
      <c r="V110" s="588" t="s">
        <v>75</v>
      </c>
      <c r="W110" s="586"/>
      <c r="X110" s="588" t="s">
        <v>722</v>
      </c>
      <c r="Y110" s="588" t="s">
        <v>161</v>
      </c>
      <c r="Z110" s="588" t="str">
        <f t="shared" si="23"/>
        <v/>
      </c>
      <c r="AA110" s="592" t="s">
        <v>6</v>
      </c>
      <c r="AB110" s="597" t="str">
        <f t="shared" si="24"/>
        <v/>
      </c>
      <c r="AC110" s="602" t="str">
        <f>IFERROR(ROUNDDOWN(ROUNDDOWN(ROUND(L110*VLOOKUP(K110,'【参考】数式用'!$A$2:$M$57,MATCH("処遇改善加算Ⅳ",'【参考】数式用'!$G$3:$M$3,0)+6,0),0)*M110,0)*Z110*0.5,0),"")</f>
        <v/>
      </c>
      <c r="AD110" s="608"/>
      <c r="AE110" s="616"/>
      <c r="AF110" s="616"/>
      <c r="AG110" s="622"/>
      <c r="AH110" s="625"/>
      <c r="AI110" s="706"/>
      <c r="AJ110" s="632"/>
      <c r="AK110" s="647" t="str">
        <f t="shared" si="25"/>
        <v/>
      </c>
      <c r="AL110" s="650" t="str">
        <f t="shared" si="26"/>
        <v/>
      </c>
      <c r="AM110" s="653"/>
      <c r="AN110" s="708" t="str">
        <f>IFERROR(VLOOKUP(K110,'【参考】数式用'!$A$2:$N$57,14,FALSE),"")</f>
        <v/>
      </c>
      <c r="AO110" s="708" t="str">
        <f t="shared" si="27"/>
        <v/>
      </c>
      <c r="AP110" s="710" t="str">
        <f t="shared" si="28"/>
        <v/>
      </c>
      <c r="AQ110" s="710" t="str">
        <f t="shared" si="29"/>
        <v>キャリアパス要件Ⅰ・Ⅱ_</v>
      </c>
      <c r="AR110" s="661" t="str">
        <f t="shared" si="30"/>
        <v>入力済</v>
      </c>
      <c r="AS110" s="708" t="str">
        <f t="shared" si="31"/>
        <v/>
      </c>
      <c r="AT110" s="661" t="str">
        <f t="shared" si="32"/>
        <v>入力済</v>
      </c>
      <c r="AU110" s="661" t="str">
        <f t="shared" si="33"/>
        <v/>
      </c>
      <c r="AV110" s="661" t="str">
        <f t="shared" si="34"/>
        <v/>
      </c>
      <c r="AW110" s="708" t="str">
        <f t="shared" si="35"/>
        <v/>
      </c>
      <c r="AX110" s="708" t="str">
        <f t="shared" si="36"/>
        <v>入力済</v>
      </c>
      <c r="AY110" s="661" t="str">
        <f>IFERROR(VLOOKUP(K110,'【参考】数式用'!$AR$3:$AS$49,2,FALSE),"")</f>
        <v/>
      </c>
      <c r="AZ110" s="708" t="str">
        <f t="shared" si="37"/>
        <v/>
      </c>
      <c r="BA110" s="656" t="str">
        <f t="shared" si="38"/>
        <v>入力済</v>
      </c>
      <c r="BB110" s="661" t="str">
        <f>IFERROR(VLOOKUP(K110,'【参考】数式用'!$AX$3:$AY$56,2,FALSE),"")</f>
        <v/>
      </c>
      <c r="BC110" s="708" t="str">
        <f t="shared" si="39"/>
        <v/>
      </c>
      <c r="BD110" s="656" t="str">
        <f t="shared" si="40"/>
        <v>入力済</v>
      </c>
      <c r="BE110" s="656" t="str">
        <f t="shared" si="41"/>
        <v/>
      </c>
      <c r="BF110" s="656" t="str">
        <f t="shared" si="42"/>
        <v/>
      </c>
      <c r="BG110" s="656" t="str">
        <f t="shared" si="43"/>
        <v/>
      </c>
      <c r="BH110" s="656" t="str">
        <f t="shared" si="44"/>
        <v/>
      </c>
      <c r="BI110" s="656" t="str">
        <f t="shared" si="45"/>
        <v/>
      </c>
      <c r="BM110" s="680" t="e">
        <f>VLOOKUP(K110,'【参考】数式用'!$A$2:$O$57,15,FALSE)</f>
        <v>#N/A</v>
      </c>
    </row>
    <row r="111" spans="1:65" ht="109.9" customHeight="1">
      <c r="A111" s="506">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IF(AND(基本情報入力シート!AG139="",基本情報入力シート!AG139=""),"",基本情報入力シート!AG139)</f>
        <v/>
      </c>
      <c r="N111" s="569"/>
      <c r="O111" s="574" t="str">
        <f>IFERROR(VLOOKUP(K111,'【参考】数式用'!$A$2:$M$57,MATCH(N111,'【参考】数式用'!$G$3:$M$3,0)+6,0),"")</f>
        <v/>
      </c>
      <c r="P111" s="582" t="s">
        <v>543</v>
      </c>
      <c r="Q111" s="586"/>
      <c r="R111" s="589" t="s">
        <v>75</v>
      </c>
      <c r="S111" s="586"/>
      <c r="T111" s="589" t="s">
        <v>159</v>
      </c>
      <c r="U111" s="586"/>
      <c r="V111" s="589" t="s">
        <v>75</v>
      </c>
      <c r="W111" s="586"/>
      <c r="X111" s="589" t="s">
        <v>10</v>
      </c>
      <c r="Y111" s="589" t="s">
        <v>161</v>
      </c>
      <c r="Z111" s="588" t="str">
        <f t="shared" si="23"/>
        <v/>
      </c>
      <c r="AA111" s="593" t="s">
        <v>6</v>
      </c>
      <c r="AB111" s="597" t="str">
        <f t="shared" si="24"/>
        <v/>
      </c>
      <c r="AC111" s="602" t="str">
        <f>IFERROR(ROUNDDOWN(ROUNDDOWN(ROUND(L111*VLOOKUP(K111,'【参考】数式用'!$A$2:$M$57,MATCH("処遇改善加算Ⅳ",'【参考】数式用'!$G$3:$M$3,0)+6,0),0)*M111,0)*Z111*0.5,0),"")</f>
        <v/>
      </c>
      <c r="AD111" s="608"/>
      <c r="AE111" s="616"/>
      <c r="AF111" s="616"/>
      <c r="AG111" s="622"/>
      <c r="AH111" s="626"/>
      <c r="AI111" s="707"/>
      <c r="AJ111" s="639"/>
      <c r="AK111" s="647" t="str">
        <f t="shared" si="25"/>
        <v/>
      </c>
      <c r="AL111" s="650" t="str">
        <f t="shared" si="26"/>
        <v/>
      </c>
      <c r="AM111" s="653"/>
      <c r="AN111" s="656" t="str">
        <f>IFERROR(VLOOKUP(K111,'【参考】数式用'!$A$2:$N$57,14,FALSE),"")</f>
        <v/>
      </c>
      <c r="AO111" s="656" t="str">
        <f t="shared" si="27"/>
        <v/>
      </c>
      <c r="AP111" s="710" t="str">
        <f t="shared" si="28"/>
        <v/>
      </c>
      <c r="AQ111" s="710" t="str">
        <f t="shared" si="29"/>
        <v>キャリアパス要件Ⅰ・Ⅱ_</v>
      </c>
      <c r="AR111" s="661" t="str">
        <f t="shared" si="30"/>
        <v>入力済</v>
      </c>
      <c r="AS111" s="656" t="str">
        <f t="shared" si="31"/>
        <v/>
      </c>
      <c r="AT111" s="661" t="str">
        <f t="shared" si="32"/>
        <v>入力済</v>
      </c>
      <c r="AU111" s="661" t="str">
        <f t="shared" si="33"/>
        <v/>
      </c>
      <c r="AV111" s="661" t="str">
        <f t="shared" si="34"/>
        <v/>
      </c>
      <c r="AW111" s="656" t="str">
        <f t="shared" si="35"/>
        <v/>
      </c>
      <c r="AX111" s="656" t="str">
        <f t="shared" si="36"/>
        <v>入力済</v>
      </c>
      <c r="AY111" s="661" t="str">
        <f>IFERROR(VLOOKUP(K111,'【参考】数式用'!$AR$3:$AS$49,2,FALSE),"")</f>
        <v/>
      </c>
      <c r="AZ111" s="656" t="str">
        <f t="shared" si="37"/>
        <v/>
      </c>
      <c r="BA111" s="656" t="str">
        <f t="shared" si="38"/>
        <v>入力済</v>
      </c>
      <c r="BB111" s="661" t="str">
        <f>IFERROR(VLOOKUP(K111,'【参考】数式用'!$AX$3:$AY$56,2,FALSE),"")</f>
        <v/>
      </c>
      <c r="BC111" s="656" t="str">
        <f t="shared" si="39"/>
        <v/>
      </c>
      <c r="BD111" s="656" t="str">
        <f t="shared" si="40"/>
        <v>入力済</v>
      </c>
      <c r="BE111" s="656" t="str">
        <f t="shared" si="41"/>
        <v/>
      </c>
      <c r="BF111" s="656" t="str">
        <f t="shared" si="42"/>
        <v/>
      </c>
      <c r="BG111" s="656" t="str">
        <f t="shared" si="43"/>
        <v/>
      </c>
      <c r="BH111" s="656" t="str">
        <f t="shared" si="44"/>
        <v/>
      </c>
      <c r="BI111" s="656" t="str">
        <f t="shared" si="45"/>
        <v/>
      </c>
      <c r="BM111" s="680"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56" zoomScaleNormal="80" zoomScaleSheetLayoutView="56" workbookViewId="0">
      <selection activeCell="H22" sqref="H22"/>
    </sheetView>
  </sheetViews>
  <sheetFormatPr defaultColWidth="9.875" defaultRowHeight="13.5"/>
  <cols>
    <col min="1" max="1" width="7.5" style="718" customWidth="1"/>
    <col min="2" max="2" width="19.875" style="718" customWidth="1"/>
    <col min="3" max="3" width="37.5" style="718" customWidth="1"/>
    <col min="4" max="4" width="47.5" style="718" customWidth="1"/>
    <col min="5" max="5" width="42.5" style="718" customWidth="1"/>
    <col min="6" max="6" width="42.875" style="718" customWidth="1"/>
    <col min="7" max="7" width="16.5" style="718" customWidth="1"/>
    <col min="8" max="8" width="44.5" style="718" customWidth="1"/>
    <col min="9" max="9" width="40.5" style="718" customWidth="1"/>
    <col min="10" max="10" width="9.875" style="719"/>
    <col min="11" max="229" width="9.875" style="720"/>
    <col min="230" max="230" width="8.5" style="720" customWidth="1"/>
    <col min="231" max="231" width="14" style="720" customWidth="1"/>
    <col min="232" max="232" width="17.875" style="720" customWidth="1"/>
    <col min="233" max="233" width="45" style="720" bestFit="1" customWidth="1"/>
    <col min="234" max="234" width="61.5" style="720" customWidth="1"/>
    <col min="235" max="235" width="20.5" style="720" customWidth="1"/>
    <col min="236" max="236" width="22.875" style="720" customWidth="1"/>
    <col min="237" max="237" width="25.125" style="720" customWidth="1"/>
    <col min="238" max="485" width="9.875" style="720"/>
    <col min="486" max="486" width="8.5" style="720" customWidth="1"/>
    <col min="487" max="487" width="14" style="720" customWidth="1"/>
    <col min="488" max="488" width="17.875" style="720" customWidth="1"/>
    <col min="489" max="489" width="45" style="720" bestFit="1" customWidth="1"/>
    <col min="490" max="490" width="61.5" style="720" customWidth="1"/>
    <col min="491" max="491" width="20.5" style="720" customWidth="1"/>
    <col min="492" max="492" width="22.875" style="720" customWidth="1"/>
    <col min="493" max="493" width="25.125" style="720" customWidth="1"/>
    <col min="494" max="741" width="9.875" style="720"/>
    <col min="742" max="742" width="8.5" style="720" customWidth="1"/>
    <col min="743" max="743" width="14" style="720" customWidth="1"/>
    <col min="744" max="744" width="17.875" style="720" customWidth="1"/>
    <col min="745" max="745" width="45" style="720" bestFit="1" customWidth="1"/>
    <col min="746" max="746" width="61.5" style="720" customWidth="1"/>
    <col min="747" max="747" width="20.5" style="720" customWidth="1"/>
    <col min="748" max="748" width="22.875" style="720" customWidth="1"/>
    <col min="749" max="749" width="25.125" style="720" customWidth="1"/>
    <col min="750" max="997" width="9.875" style="720"/>
    <col min="998" max="998" width="8.5" style="720" customWidth="1"/>
    <col min="999" max="999" width="14" style="720" customWidth="1"/>
    <col min="1000" max="1000" width="17.875" style="720" customWidth="1"/>
    <col min="1001" max="1001" width="45" style="720" bestFit="1" customWidth="1"/>
    <col min="1002" max="1002" width="61.5" style="720" customWidth="1"/>
    <col min="1003" max="1003" width="20.5" style="720" customWidth="1"/>
    <col min="1004" max="1004" width="22.875" style="720" customWidth="1"/>
    <col min="1005" max="1005" width="25.125" style="720" customWidth="1"/>
    <col min="1006" max="1253" width="9.875" style="720"/>
    <col min="1254" max="1254" width="8.5" style="720" customWidth="1"/>
    <col min="1255" max="1255" width="14" style="720" customWidth="1"/>
    <col min="1256" max="1256" width="17.875" style="720" customWidth="1"/>
    <col min="1257" max="1257" width="45" style="720" bestFit="1" customWidth="1"/>
    <col min="1258" max="1258" width="61.5" style="720" customWidth="1"/>
    <col min="1259" max="1259" width="20.5" style="720" customWidth="1"/>
    <col min="1260" max="1260" width="22.875" style="720" customWidth="1"/>
    <col min="1261" max="1261" width="25.125" style="720" customWidth="1"/>
    <col min="1262" max="1509" width="9.875" style="720"/>
    <col min="1510" max="1510" width="8.5" style="720" customWidth="1"/>
    <col min="1511" max="1511" width="14" style="720" customWidth="1"/>
    <col min="1512" max="1512" width="17.875" style="720" customWidth="1"/>
    <col min="1513" max="1513" width="45" style="720" bestFit="1" customWidth="1"/>
    <col min="1514" max="1514" width="61.5" style="720" customWidth="1"/>
    <col min="1515" max="1515" width="20.5" style="720" customWidth="1"/>
    <col min="1516" max="1516" width="22.875" style="720" customWidth="1"/>
    <col min="1517" max="1517" width="25.125" style="720" customWidth="1"/>
    <col min="1518" max="1765" width="9.875" style="720"/>
    <col min="1766" max="1766" width="8.5" style="720" customWidth="1"/>
    <col min="1767" max="1767" width="14" style="720" customWidth="1"/>
    <col min="1768" max="1768" width="17.875" style="720" customWidth="1"/>
    <col min="1769" max="1769" width="45" style="720" bestFit="1" customWidth="1"/>
    <col min="1770" max="1770" width="61.5" style="720" customWidth="1"/>
    <col min="1771" max="1771" width="20.5" style="720" customWidth="1"/>
    <col min="1772" max="1772" width="22.875" style="720" customWidth="1"/>
    <col min="1773" max="1773" width="25.125" style="720" customWidth="1"/>
    <col min="1774" max="2021" width="9.875" style="720"/>
    <col min="2022" max="2022" width="8.5" style="720" customWidth="1"/>
    <col min="2023" max="2023" width="14" style="720" customWidth="1"/>
    <col min="2024" max="2024" width="17.875" style="720" customWidth="1"/>
    <col min="2025" max="2025" width="45" style="720" bestFit="1" customWidth="1"/>
    <col min="2026" max="2026" width="61.5" style="720" customWidth="1"/>
    <col min="2027" max="2027" width="20.5" style="720" customWidth="1"/>
    <col min="2028" max="2028" width="22.875" style="720" customWidth="1"/>
    <col min="2029" max="2029" width="25.125" style="720" customWidth="1"/>
    <col min="2030" max="2277" width="9.875" style="720"/>
    <col min="2278" max="2278" width="8.5" style="720" customWidth="1"/>
    <col min="2279" max="2279" width="14" style="720" customWidth="1"/>
    <col min="2280" max="2280" width="17.875" style="720" customWidth="1"/>
    <col min="2281" max="2281" width="45" style="720" bestFit="1" customWidth="1"/>
    <col min="2282" max="2282" width="61.5" style="720" customWidth="1"/>
    <col min="2283" max="2283" width="20.5" style="720" customWidth="1"/>
    <col min="2284" max="2284" width="22.875" style="720" customWidth="1"/>
    <col min="2285" max="2285" width="25.125" style="720" customWidth="1"/>
    <col min="2286" max="2533" width="9.875" style="720"/>
    <col min="2534" max="2534" width="8.5" style="720" customWidth="1"/>
    <col min="2535" max="2535" width="14" style="720" customWidth="1"/>
    <col min="2536" max="2536" width="17.875" style="720" customWidth="1"/>
    <col min="2537" max="2537" width="45" style="720" bestFit="1" customWidth="1"/>
    <col min="2538" max="2538" width="61.5" style="720" customWidth="1"/>
    <col min="2539" max="2539" width="20.5" style="720" customWidth="1"/>
    <col min="2540" max="2540" width="22.875" style="720" customWidth="1"/>
    <col min="2541" max="2541" width="25.125" style="720" customWidth="1"/>
    <col min="2542" max="2789" width="9.875" style="720"/>
    <col min="2790" max="2790" width="8.5" style="720" customWidth="1"/>
    <col min="2791" max="2791" width="14" style="720" customWidth="1"/>
    <col min="2792" max="2792" width="17.875" style="720" customWidth="1"/>
    <col min="2793" max="2793" width="45" style="720" bestFit="1" customWidth="1"/>
    <col min="2794" max="2794" width="61.5" style="720" customWidth="1"/>
    <col min="2795" max="2795" width="20.5" style="720" customWidth="1"/>
    <col min="2796" max="2796" width="22.875" style="720" customWidth="1"/>
    <col min="2797" max="2797" width="25.125" style="720" customWidth="1"/>
    <col min="2798" max="3045" width="9.875" style="720"/>
    <col min="3046" max="3046" width="8.5" style="720" customWidth="1"/>
    <col min="3047" max="3047" width="14" style="720" customWidth="1"/>
    <col min="3048" max="3048" width="17.875" style="720" customWidth="1"/>
    <col min="3049" max="3049" width="45" style="720" bestFit="1" customWidth="1"/>
    <col min="3050" max="3050" width="61.5" style="720" customWidth="1"/>
    <col min="3051" max="3051" width="20.5" style="720" customWidth="1"/>
    <col min="3052" max="3052" width="22.875" style="720" customWidth="1"/>
    <col min="3053" max="3053" width="25.125" style="720" customWidth="1"/>
    <col min="3054" max="3301" width="9.875" style="720"/>
    <col min="3302" max="3302" width="8.5" style="720" customWidth="1"/>
    <col min="3303" max="3303" width="14" style="720" customWidth="1"/>
    <col min="3304" max="3304" width="17.875" style="720" customWidth="1"/>
    <col min="3305" max="3305" width="45" style="720" bestFit="1" customWidth="1"/>
    <col min="3306" max="3306" width="61.5" style="720" customWidth="1"/>
    <col min="3307" max="3307" width="20.5" style="720" customWidth="1"/>
    <col min="3308" max="3308" width="22.875" style="720" customWidth="1"/>
    <col min="3309" max="3309" width="25.125" style="720" customWidth="1"/>
    <col min="3310" max="3557" width="9.875" style="720"/>
    <col min="3558" max="3558" width="8.5" style="720" customWidth="1"/>
    <col min="3559" max="3559" width="14" style="720" customWidth="1"/>
    <col min="3560" max="3560" width="17.875" style="720" customWidth="1"/>
    <col min="3561" max="3561" width="45" style="720" bestFit="1" customWidth="1"/>
    <col min="3562" max="3562" width="61.5" style="720" customWidth="1"/>
    <col min="3563" max="3563" width="20.5" style="720" customWidth="1"/>
    <col min="3564" max="3564" width="22.875" style="720" customWidth="1"/>
    <col min="3565" max="3565" width="25.125" style="720" customWidth="1"/>
    <col min="3566" max="3813" width="9.875" style="720"/>
    <col min="3814" max="3814" width="8.5" style="720" customWidth="1"/>
    <col min="3815" max="3815" width="14" style="720" customWidth="1"/>
    <col min="3816" max="3816" width="17.875" style="720" customWidth="1"/>
    <col min="3817" max="3817" width="45" style="720" bestFit="1" customWidth="1"/>
    <col min="3818" max="3818" width="61.5" style="720" customWidth="1"/>
    <col min="3819" max="3819" width="20.5" style="720" customWidth="1"/>
    <col min="3820" max="3820" width="22.875" style="720" customWidth="1"/>
    <col min="3821" max="3821" width="25.125" style="720" customWidth="1"/>
    <col min="3822" max="4069" width="9.875" style="720"/>
    <col min="4070" max="4070" width="8.5" style="720" customWidth="1"/>
    <col min="4071" max="4071" width="14" style="720" customWidth="1"/>
    <col min="4072" max="4072" width="17.875" style="720" customWidth="1"/>
    <col min="4073" max="4073" width="45" style="720" bestFit="1" customWidth="1"/>
    <col min="4074" max="4074" width="61.5" style="720" customWidth="1"/>
    <col min="4075" max="4075" width="20.5" style="720" customWidth="1"/>
    <col min="4076" max="4076" width="22.875" style="720" customWidth="1"/>
    <col min="4077" max="4077" width="25.125" style="720" customWidth="1"/>
    <col min="4078" max="4325" width="9.875" style="720"/>
    <col min="4326" max="4326" width="8.5" style="720" customWidth="1"/>
    <col min="4327" max="4327" width="14" style="720" customWidth="1"/>
    <col min="4328" max="4328" width="17.875" style="720" customWidth="1"/>
    <col min="4329" max="4329" width="45" style="720" bestFit="1" customWidth="1"/>
    <col min="4330" max="4330" width="61.5" style="720" customWidth="1"/>
    <col min="4331" max="4331" width="20.5" style="720" customWidth="1"/>
    <col min="4332" max="4332" width="22.875" style="720" customWidth="1"/>
    <col min="4333" max="4333" width="25.125" style="720" customWidth="1"/>
    <col min="4334" max="4581" width="9.875" style="720"/>
    <col min="4582" max="4582" width="8.5" style="720" customWidth="1"/>
    <col min="4583" max="4583" width="14" style="720" customWidth="1"/>
    <col min="4584" max="4584" width="17.875" style="720" customWidth="1"/>
    <col min="4585" max="4585" width="45" style="720" bestFit="1" customWidth="1"/>
    <col min="4586" max="4586" width="61.5" style="720" customWidth="1"/>
    <col min="4587" max="4587" width="20.5" style="720" customWidth="1"/>
    <col min="4588" max="4588" width="22.875" style="720" customWidth="1"/>
    <col min="4589" max="4589" width="25.125" style="720" customWidth="1"/>
    <col min="4590" max="4837" width="9.875" style="720"/>
    <col min="4838" max="4838" width="8.5" style="720" customWidth="1"/>
    <col min="4839" max="4839" width="14" style="720" customWidth="1"/>
    <col min="4840" max="4840" width="17.875" style="720" customWidth="1"/>
    <col min="4841" max="4841" width="45" style="720" bestFit="1" customWidth="1"/>
    <col min="4842" max="4842" width="61.5" style="720" customWidth="1"/>
    <col min="4843" max="4843" width="20.5" style="720" customWidth="1"/>
    <col min="4844" max="4844" width="22.875" style="720" customWidth="1"/>
    <col min="4845" max="4845" width="25.125" style="720" customWidth="1"/>
    <col min="4846" max="5093" width="9.875" style="720"/>
    <col min="5094" max="5094" width="8.5" style="720" customWidth="1"/>
    <col min="5095" max="5095" width="14" style="720" customWidth="1"/>
    <col min="5096" max="5096" width="17.875" style="720" customWidth="1"/>
    <col min="5097" max="5097" width="45" style="720" bestFit="1" customWidth="1"/>
    <col min="5098" max="5098" width="61.5" style="720" customWidth="1"/>
    <col min="5099" max="5099" width="20.5" style="720" customWidth="1"/>
    <col min="5100" max="5100" width="22.875" style="720" customWidth="1"/>
    <col min="5101" max="5101" width="25.125" style="720" customWidth="1"/>
    <col min="5102" max="5349" width="9.875" style="720"/>
    <col min="5350" max="5350" width="8.5" style="720" customWidth="1"/>
    <col min="5351" max="5351" width="14" style="720" customWidth="1"/>
    <col min="5352" max="5352" width="17.875" style="720" customWidth="1"/>
    <col min="5353" max="5353" width="45" style="720" bestFit="1" customWidth="1"/>
    <col min="5354" max="5354" width="61.5" style="720" customWidth="1"/>
    <col min="5355" max="5355" width="20.5" style="720" customWidth="1"/>
    <col min="5356" max="5356" width="22.875" style="720" customWidth="1"/>
    <col min="5357" max="5357" width="25.125" style="720" customWidth="1"/>
    <col min="5358" max="5605" width="9.875" style="720"/>
    <col min="5606" max="5606" width="8.5" style="720" customWidth="1"/>
    <col min="5607" max="5607" width="14" style="720" customWidth="1"/>
    <col min="5608" max="5608" width="17.875" style="720" customWidth="1"/>
    <col min="5609" max="5609" width="45" style="720" bestFit="1" customWidth="1"/>
    <col min="5610" max="5610" width="61.5" style="720" customWidth="1"/>
    <col min="5611" max="5611" width="20.5" style="720" customWidth="1"/>
    <col min="5612" max="5612" width="22.875" style="720" customWidth="1"/>
    <col min="5613" max="5613" width="25.125" style="720" customWidth="1"/>
    <col min="5614" max="5861" width="9.875" style="720"/>
    <col min="5862" max="5862" width="8.5" style="720" customWidth="1"/>
    <col min="5863" max="5863" width="14" style="720" customWidth="1"/>
    <col min="5864" max="5864" width="17.875" style="720" customWidth="1"/>
    <col min="5865" max="5865" width="45" style="720" bestFit="1" customWidth="1"/>
    <col min="5866" max="5866" width="61.5" style="720" customWidth="1"/>
    <col min="5867" max="5867" width="20.5" style="720" customWidth="1"/>
    <col min="5868" max="5868" width="22.875" style="720" customWidth="1"/>
    <col min="5869" max="5869" width="25.125" style="720" customWidth="1"/>
    <col min="5870" max="6117" width="9.875" style="720"/>
    <col min="6118" max="6118" width="8.5" style="720" customWidth="1"/>
    <col min="6119" max="6119" width="14" style="720" customWidth="1"/>
    <col min="6120" max="6120" width="17.875" style="720" customWidth="1"/>
    <col min="6121" max="6121" width="45" style="720" bestFit="1" customWidth="1"/>
    <col min="6122" max="6122" width="61.5" style="720" customWidth="1"/>
    <col min="6123" max="6123" width="20.5" style="720" customWidth="1"/>
    <col min="6124" max="6124" width="22.875" style="720" customWidth="1"/>
    <col min="6125" max="6125" width="25.125" style="720" customWidth="1"/>
    <col min="6126" max="6373" width="9.875" style="720"/>
    <col min="6374" max="6374" width="8.5" style="720" customWidth="1"/>
    <col min="6375" max="6375" width="14" style="720" customWidth="1"/>
    <col min="6376" max="6376" width="17.875" style="720" customWidth="1"/>
    <col min="6377" max="6377" width="45" style="720" bestFit="1" customWidth="1"/>
    <col min="6378" max="6378" width="61.5" style="720" customWidth="1"/>
    <col min="6379" max="6379" width="20.5" style="720" customWidth="1"/>
    <col min="6380" max="6380" width="22.875" style="720" customWidth="1"/>
    <col min="6381" max="6381" width="25.125" style="720" customWidth="1"/>
    <col min="6382" max="6629" width="9.875" style="720"/>
    <col min="6630" max="6630" width="8.5" style="720" customWidth="1"/>
    <col min="6631" max="6631" width="14" style="720" customWidth="1"/>
    <col min="6632" max="6632" width="17.875" style="720" customWidth="1"/>
    <col min="6633" max="6633" width="45" style="720" bestFit="1" customWidth="1"/>
    <col min="6634" max="6634" width="61.5" style="720" customWidth="1"/>
    <col min="6635" max="6635" width="20.5" style="720" customWidth="1"/>
    <col min="6636" max="6636" width="22.875" style="720" customWidth="1"/>
    <col min="6637" max="6637" width="25.125" style="720" customWidth="1"/>
    <col min="6638" max="6885" width="9.875" style="720"/>
    <col min="6886" max="6886" width="8.5" style="720" customWidth="1"/>
    <col min="6887" max="6887" width="14" style="720" customWidth="1"/>
    <col min="6888" max="6888" width="17.875" style="720" customWidth="1"/>
    <col min="6889" max="6889" width="45" style="720" bestFit="1" customWidth="1"/>
    <col min="6890" max="6890" width="61.5" style="720" customWidth="1"/>
    <col min="6891" max="6891" width="20.5" style="720" customWidth="1"/>
    <col min="6892" max="6892" width="22.875" style="720" customWidth="1"/>
    <col min="6893" max="6893" width="25.125" style="720" customWidth="1"/>
    <col min="6894" max="7141" width="9.875" style="720"/>
    <col min="7142" max="7142" width="8.5" style="720" customWidth="1"/>
    <col min="7143" max="7143" width="14" style="720" customWidth="1"/>
    <col min="7144" max="7144" width="17.875" style="720" customWidth="1"/>
    <col min="7145" max="7145" width="45" style="720" bestFit="1" customWidth="1"/>
    <col min="7146" max="7146" width="61.5" style="720" customWidth="1"/>
    <col min="7147" max="7147" width="20.5" style="720" customWidth="1"/>
    <col min="7148" max="7148" width="22.875" style="720" customWidth="1"/>
    <col min="7149" max="7149" width="25.125" style="720" customWidth="1"/>
    <col min="7150" max="7397" width="9.875" style="720"/>
    <col min="7398" max="7398" width="8.5" style="720" customWidth="1"/>
    <col min="7399" max="7399" width="14" style="720" customWidth="1"/>
    <col min="7400" max="7400" width="17.875" style="720" customWidth="1"/>
    <col min="7401" max="7401" width="45" style="720" bestFit="1" customWidth="1"/>
    <col min="7402" max="7402" width="61.5" style="720" customWidth="1"/>
    <col min="7403" max="7403" width="20.5" style="720" customWidth="1"/>
    <col min="7404" max="7404" width="22.875" style="720" customWidth="1"/>
    <col min="7405" max="7405" width="25.125" style="720" customWidth="1"/>
    <col min="7406" max="7653" width="9.875" style="720"/>
    <col min="7654" max="7654" width="8.5" style="720" customWidth="1"/>
    <col min="7655" max="7655" width="14" style="720" customWidth="1"/>
    <col min="7656" max="7656" width="17.875" style="720" customWidth="1"/>
    <col min="7657" max="7657" width="45" style="720" bestFit="1" customWidth="1"/>
    <col min="7658" max="7658" width="61.5" style="720" customWidth="1"/>
    <col min="7659" max="7659" width="20.5" style="720" customWidth="1"/>
    <col min="7660" max="7660" width="22.875" style="720" customWidth="1"/>
    <col min="7661" max="7661" width="25.125" style="720" customWidth="1"/>
    <col min="7662" max="7909" width="9.875" style="720"/>
    <col min="7910" max="7910" width="8.5" style="720" customWidth="1"/>
    <col min="7911" max="7911" width="14" style="720" customWidth="1"/>
    <col min="7912" max="7912" width="17.875" style="720" customWidth="1"/>
    <col min="7913" max="7913" width="45" style="720" bestFit="1" customWidth="1"/>
    <col min="7914" max="7914" width="61.5" style="720" customWidth="1"/>
    <col min="7915" max="7915" width="20.5" style="720" customWidth="1"/>
    <col min="7916" max="7916" width="22.875" style="720" customWidth="1"/>
    <col min="7917" max="7917" width="25.125" style="720" customWidth="1"/>
    <col min="7918" max="8165" width="9.875" style="720"/>
    <col min="8166" max="8166" width="8.5" style="720" customWidth="1"/>
    <col min="8167" max="8167" width="14" style="720" customWidth="1"/>
    <col min="8168" max="8168" width="17.875" style="720" customWidth="1"/>
    <col min="8169" max="8169" width="45" style="720" bestFit="1" customWidth="1"/>
    <col min="8170" max="8170" width="61.5" style="720" customWidth="1"/>
    <col min="8171" max="8171" width="20.5" style="720" customWidth="1"/>
    <col min="8172" max="8172" width="22.875" style="720" customWidth="1"/>
    <col min="8173" max="8173" width="25.125" style="720" customWidth="1"/>
    <col min="8174" max="8421" width="9.875" style="720"/>
    <col min="8422" max="8422" width="8.5" style="720" customWidth="1"/>
    <col min="8423" max="8423" width="14" style="720" customWidth="1"/>
    <col min="8424" max="8424" width="17.875" style="720" customWidth="1"/>
    <col min="8425" max="8425" width="45" style="720" bestFit="1" customWidth="1"/>
    <col min="8426" max="8426" width="61.5" style="720" customWidth="1"/>
    <col min="8427" max="8427" width="20.5" style="720" customWidth="1"/>
    <col min="8428" max="8428" width="22.875" style="720" customWidth="1"/>
    <col min="8429" max="8429" width="25.125" style="720" customWidth="1"/>
    <col min="8430" max="8677" width="9.875" style="720"/>
    <col min="8678" max="8678" width="8.5" style="720" customWidth="1"/>
    <col min="8679" max="8679" width="14" style="720" customWidth="1"/>
    <col min="8680" max="8680" width="17.875" style="720" customWidth="1"/>
    <col min="8681" max="8681" width="45" style="720" bestFit="1" customWidth="1"/>
    <col min="8682" max="8682" width="61.5" style="720" customWidth="1"/>
    <col min="8683" max="8683" width="20.5" style="720" customWidth="1"/>
    <col min="8684" max="8684" width="22.875" style="720" customWidth="1"/>
    <col min="8685" max="8685" width="25.125" style="720" customWidth="1"/>
    <col min="8686" max="8933" width="9.875" style="720"/>
    <col min="8934" max="8934" width="8.5" style="720" customWidth="1"/>
    <col min="8935" max="8935" width="14" style="720" customWidth="1"/>
    <col min="8936" max="8936" width="17.875" style="720" customWidth="1"/>
    <col min="8937" max="8937" width="45" style="720" bestFit="1" customWidth="1"/>
    <col min="8938" max="8938" width="61.5" style="720" customWidth="1"/>
    <col min="8939" max="8939" width="20.5" style="720" customWidth="1"/>
    <col min="8940" max="8940" width="22.875" style="720" customWidth="1"/>
    <col min="8941" max="8941" width="25.125" style="720" customWidth="1"/>
    <col min="8942" max="9189" width="9.875" style="720"/>
    <col min="9190" max="9190" width="8.5" style="720" customWidth="1"/>
    <col min="9191" max="9191" width="14" style="720" customWidth="1"/>
    <col min="9192" max="9192" width="17.875" style="720" customWidth="1"/>
    <col min="9193" max="9193" width="45" style="720" bestFit="1" customWidth="1"/>
    <col min="9194" max="9194" width="61.5" style="720" customWidth="1"/>
    <col min="9195" max="9195" width="20.5" style="720" customWidth="1"/>
    <col min="9196" max="9196" width="22.875" style="720" customWidth="1"/>
    <col min="9197" max="9197" width="25.125" style="720" customWidth="1"/>
    <col min="9198" max="9445" width="9.875" style="720"/>
    <col min="9446" max="9446" width="8.5" style="720" customWidth="1"/>
    <col min="9447" max="9447" width="14" style="720" customWidth="1"/>
    <col min="9448" max="9448" width="17.875" style="720" customWidth="1"/>
    <col min="9449" max="9449" width="45" style="720" bestFit="1" customWidth="1"/>
    <col min="9450" max="9450" width="61.5" style="720" customWidth="1"/>
    <col min="9451" max="9451" width="20.5" style="720" customWidth="1"/>
    <col min="9452" max="9452" width="22.875" style="720" customWidth="1"/>
    <col min="9453" max="9453" width="25.125" style="720" customWidth="1"/>
    <col min="9454" max="9701" width="9.875" style="720"/>
    <col min="9702" max="9702" width="8.5" style="720" customWidth="1"/>
    <col min="9703" max="9703" width="14" style="720" customWidth="1"/>
    <col min="9704" max="9704" width="17.875" style="720" customWidth="1"/>
    <col min="9705" max="9705" width="45" style="720" bestFit="1" customWidth="1"/>
    <col min="9706" max="9706" width="61.5" style="720" customWidth="1"/>
    <col min="9707" max="9707" width="20.5" style="720" customWidth="1"/>
    <col min="9708" max="9708" width="22.875" style="720" customWidth="1"/>
    <col min="9709" max="9709" width="25.125" style="720" customWidth="1"/>
    <col min="9710" max="9957" width="9.875" style="720"/>
    <col min="9958" max="9958" width="8.5" style="720" customWidth="1"/>
    <col min="9959" max="9959" width="14" style="720" customWidth="1"/>
    <col min="9960" max="9960" width="17.875" style="720" customWidth="1"/>
    <col min="9961" max="9961" width="45" style="720" bestFit="1" customWidth="1"/>
    <col min="9962" max="9962" width="61.5" style="720" customWidth="1"/>
    <col min="9963" max="9963" width="20.5" style="720" customWidth="1"/>
    <col min="9964" max="9964" width="22.875" style="720" customWidth="1"/>
    <col min="9965" max="9965" width="25.125" style="720" customWidth="1"/>
    <col min="9966" max="10213" width="9.875" style="720"/>
    <col min="10214" max="10214" width="8.5" style="720" customWidth="1"/>
    <col min="10215" max="10215" width="14" style="720" customWidth="1"/>
    <col min="10216" max="10216" width="17.875" style="720" customWidth="1"/>
    <col min="10217" max="10217" width="45" style="720" bestFit="1" customWidth="1"/>
    <col min="10218" max="10218" width="61.5" style="720" customWidth="1"/>
    <col min="10219" max="10219" width="20.5" style="720" customWidth="1"/>
    <col min="10220" max="10220" width="22.875" style="720" customWidth="1"/>
    <col min="10221" max="10221" width="25.125" style="720" customWidth="1"/>
    <col min="10222" max="10469" width="9.875" style="720"/>
    <col min="10470" max="10470" width="8.5" style="720" customWidth="1"/>
    <col min="10471" max="10471" width="14" style="720" customWidth="1"/>
    <col min="10472" max="10472" width="17.875" style="720" customWidth="1"/>
    <col min="10473" max="10473" width="45" style="720" bestFit="1" customWidth="1"/>
    <col min="10474" max="10474" width="61.5" style="720" customWidth="1"/>
    <col min="10475" max="10475" width="20.5" style="720" customWidth="1"/>
    <col min="10476" max="10476" width="22.875" style="720" customWidth="1"/>
    <col min="10477" max="10477" width="25.125" style="720" customWidth="1"/>
    <col min="10478" max="10725" width="9.875" style="720"/>
    <col min="10726" max="10726" width="8.5" style="720" customWidth="1"/>
    <col min="10727" max="10727" width="14" style="720" customWidth="1"/>
    <col min="10728" max="10728" width="17.875" style="720" customWidth="1"/>
    <col min="10729" max="10729" width="45" style="720" bestFit="1" customWidth="1"/>
    <col min="10730" max="10730" width="61.5" style="720" customWidth="1"/>
    <col min="10731" max="10731" width="20.5" style="720" customWidth="1"/>
    <col min="10732" max="10732" width="22.875" style="720" customWidth="1"/>
    <col min="10733" max="10733" width="25.125" style="720" customWidth="1"/>
    <col min="10734" max="10981" width="9.875" style="720"/>
    <col min="10982" max="10982" width="8.5" style="720" customWidth="1"/>
    <col min="10983" max="10983" width="14" style="720" customWidth="1"/>
    <col min="10984" max="10984" width="17.875" style="720" customWidth="1"/>
    <col min="10985" max="10985" width="45" style="720" bestFit="1" customWidth="1"/>
    <col min="10986" max="10986" width="61.5" style="720" customWidth="1"/>
    <col min="10987" max="10987" width="20.5" style="720" customWidth="1"/>
    <col min="10988" max="10988" width="22.875" style="720" customWidth="1"/>
    <col min="10989" max="10989" width="25.125" style="720" customWidth="1"/>
    <col min="10990" max="11237" width="9.875" style="720"/>
    <col min="11238" max="11238" width="8.5" style="720" customWidth="1"/>
    <col min="11239" max="11239" width="14" style="720" customWidth="1"/>
    <col min="11240" max="11240" width="17.875" style="720" customWidth="1"/>
    <col min="11241" max="11241" width="45" style="720" bestFit="1" customWidth="1"/>
    <col min="11242" max="11242" width="61.5" style="720" customWidth="1"/>
    <col min="11243" max="11243" width="20.5" style="720" customWidth="1"/>
    <col min="11244" max="11244" width="22.875" style="720" customWidth="1"/>
    <col min="11245" max="11245" width="25.125" style="720" customWidth="1"/>
    <col min="11246" max="11493" width="9.875" style="720"/>
    <col min="11494" max="11494" width="8.5" style="720" customWidth="1"/>
    <col min="11495" max="11495" width="14" style="720" customWidth="1"/>
    <col min="11496" max="11496" width="17.875" style="720" customWidth="1"/>
    <col min="11497" max="11497" width="45" style="720" bestFit="1" customWidth="1"/>
    <col min="11498" max="11498" width="61.5" style="720" customWidth="1"/>
    <col min="11499" max="11499" width="20.5" style="720" customWidth="1"/>
    <col min="11500" max="11500" width="22.875" style="720" customWidth="1"/>
    <col min="11501" max="11501" width="25.125" style="720" customWidth="1"/>
    <col min="11502" max="11749" width="9.875" style="720"/>
    <col min="11750" max="11750" width="8.5" style="720" customWidth="1"/>
    <col min="11751" max="11751" width="14" style="720" customWidth="1"/>
    <col min="11752" max="11752" width="17.875" style="720" customWidth="1"/>
    <col min="11753" max="11753" width="45" style="720" bestFit="1" customWidth="1"/>
    <col min="11754" max="11754" width="61.5" style="720" customWidth="1"/>
    <col min="11755" max="11755" width="20.5" style="720" customWidth="1"/>
    <col min="11756" max="11756" width="22.875" style="720" customWidth="1"/>
    <col min="11757" max="11757" width="25.125" style="720" customWidth="1"/>
    <col min="11758" max="12005" width="9.875" style="720"/>
    <col min="12006" max="12006" width="8.5" style="720" customWidth="1"/>
    <col min="12007" max="12007" width="14" style="720" customWidth="1"/>
    <col min="12008" max="12008" width="17.875" style="720" customWidth="1"/>
    <col min="12009" max="12009" width="45" style="720" bestFit="1" customWidth="1"/>
    <col min="12010" max="12010" width="61.5" style="720" customWidth="1"/>
    <col min="12011" max="12011" width="20.5" style="720" customWidth="1"/>
    <col min="12012" max="12012" width="22.875" style="720" customWidth="1"/>
    <col min="12013" max="12013" width="25.125" style="720" customWidth="1"/>
    <col min="12014" max="12261" width="9.875" style="720"/>
    <col min="12262" max="12262" width="8.5" style="720" customWidth="1"/>
    <col min="12263" max="12263" width="14" style="720" customWidth="1"/>
    <col min="12264" max="12264" width="17.875" style="720" customWidth="1"/>
    <col min="12265" max="12265" width="45" style="720" bestFit="1" customWidth="1"/>
    <col min="12266" max="12266" width="61.5" style="720" customWidth="1"/>
    <col min="12267" max="12267" width="20.5" style="720" customWidth="1"/>
    <col min="12268" max="12268" width="22.875" style="720" customWidth="1"/>
    <col min="12269" max="12269" width="25.125" style="720" customWidth="1"/>
    <col min="12270" max="12517" width="9.875" style="720"/>
    <col min="12518" max="12518" width="8.5" style="720" customWidth="1"/>
    <col min="12519" max="12519" width="14" style="720" customWidth="1"/>
    <col min="12520" max="12520" width="17.875" style="720" customWidth="1"/>
    <col min="12521" max="12521" width="45" style="720" bestFit="1" customWidth="1"/>
    <col min="12522" max="12522" width="61.5" style="720" customWidth="1"/>
    <col min="12523" max="12523" width="20.5" style="720" customWidth="1"/>
    <col min="12524" max="12524" width="22.875" style="720" customWidth="1"/>
    <col min="12525" max="12525" width="25.125" style="720" customWidth="1"/>
    <col min="12526" max="12773" width="9.875" style="720"/>
    <col min="12774" max="12774" width="8.5" style="720" customWidth="1"/>
    <col min="12775" max="12775" width="14" style="720" customWidth="1"/>
    <col min="12776" max="12776" width="17.875" style="720" customWidth="1"/>
    <col min="12777" max="12777" width="45" style="720" bestFit="1" customWidth="1"/>
    <col min="12778" max="12778" width="61.5" style="720" customWidth="1"/>
    <col min="12779" max="12779" width="20.5" style="720" customWidth="1"/>
    <col min="12780" max="12780" width="22.875" style="720" customWidth="1"/>
    <col min="12781" max="12781" width="25.125" style="720" customWidth="1"/>
    <col min="12782" max="13029" width="9.875" style="720"/>
    <col min="13030" max="13030" width="8.5" style="720" customWidth="1"/>
    <col min="13031" max="13031" width="14" style="720" customWidth="1"/>
    <col min="13032" max="13032" width="17.875" style="720" customWidth="1"/>
    <col min="13033" max="13033" width="45" style="720" bestFit="1" customWidth="1"/>
    <col min="13034" max="13034" width="61.5" style="720" customWidth="1"/>
    <col min="13035" max="13035" width="20.5" style="720" customWidth="1"/>
    <col min="13036" max="13036" width="22.875" style="720" customWidth="1"/>
    <col min="13037" max="13037" width="25.125" style="720" customWidth="1"/>
    <col min="13038" max="13285" width="9.875" style="720"/>
    <col min="13286" max="13286" width="8.5" style="720" customWidth="1"/>
    <col min="13287" max="13287" width="14" style="720" customWidth="1"/>
    <col min="13288" max="13288" width="17.875" style="720" customWidth="1"/>
    <col min="13289" max="13289" width="45" style="720" bestFit="1" customWidth="1"/>
    <col min="13290" max="13290" width="61.5" style="720" customWidth="1"/>
    <col min="13291" max="13291" width="20.5" style="720" customWidth="1"/>
    <col min="13292" max="13292" width="22.875" style="720" customWidth="1"/>
    <col min="13293" max="13293" width="25.125" style="720" customWidth="1"/>
    <col min="13294" max="13541" width="9.875" style="720"/>
    <col min="13542" max="13542" width="8.5" style="720" customWidth="1"/>
    <col min="13543" max="13543" width="14" style="720" customWidth="1"/>
    <col min="13544" max="13544" width="17.875" style="720" customWidth="1"/>
    <col min="13545" max="13545" width="45" style="720" bestFit="1" customWidth="1"/>
    <col min="13546" max="13546" width="61.5" style="720" customWidth="1"/>
    <col min="13547" max="13547" width="20.5" style="720" customWidth="1"/>
    <col min="13548" max="13548" width="22.875" style="720" customWidth="1"/>
    <col min="13549" max="13549" width="25.125" style="720" customWidth="1"/>
    <col min="13550" max="13797" width="9.875" style="720"/>
    <col min="13798" max="13798" width="8.5" style="720" customWidth="1"/>
    <col min="13799" max="13799" width="14" style="720" customWidth="1"/>
    <col min="13800" max="13800" width="17.875" style="720" customWidth="1"/>
    <col min="13801" max="13801" width="45" style="720" bestFit="1" customWidth="1"/>
    <col min="13802" max="13802" width="61.5" style="720" customWidth="1"/>
    <col min="13803" max="13803" width="20.5" style="720" customWidth="1"/>
    <col min="13804" max="13804" width="22.875" style="720" customWidth="1"/>
    <col min="13805" max="13805" width="25.125" style="720" customWidth="1"/>
    <col min="13806" max="14053" width="9.875" style="720"/>
    <col min="14054" max="14054" width="8.5" style="720" customWidth="1"/>
    <col min="14055" max="14055" width="14" style="720" customWidth="1"/>
    <col min="14056" max="14056" width="17.875" style="720" customWidth="1"/>
    <col min="14057" max="14057" width="45" style="720" bestFit="1" customWidth="1"/>
    <col min="14058" max="14058" width="61.5" style="720" customWidth="1"/>
    <col min="14059" max="14059" width="20.5" style="720" customWidth="1"/>
    <col min="14060" max="14060" width="22.875" style="720" customWidth="1"/>
    <col min="14061" max="14061" width="25.125" style="720" customWidth="1"/>
    <col min="14062" max="14309" width="9.875" style="720"/>
    <col min="14310" max="14310" width="8.5" style="720" customWidth="1"/>
    <col min="14311" max="14311" width="14" style="720" customWidth="1"/>
    <col min="14312" max="14312" width="17.875" style="720" customWidth="1"/>
    <col min="14313" max="14313" width="45" style="720" bestFit="1" customWidth="1"/>
    <col min="14314" max="14314" width="61.5" style="720" customWidth="1"/>
    <col min="14315" max="14315" width="20.5" style="720" customWidth="1"/>
    <col min="14316" max="14316" width="22.875" style="720" customWidth="1"/>
    <col min="14317" max="14317" width="25.125" style="720" customWidth="1"/>
    <col min="14318" max="14565" width="9.875" style="720"/>
    <col min="14566" max="14566" width="8.5" style="720" customWidth="1"/>
    <col min="14567" max="14567" width="14" style="720" customWidth="1"/>
    <col min="14568" max="14568" width="17.875" style="720" customWidth="1"/>
    <col min="14569" max="14569" width="45" style="720" bestFit="1" customWidth="1"/>
    <col min="14570" max="14570" width="61.5" style="720" customWidth="1"/>
    <col min="14571" max="14571" width="20.5" style="720" customWidth="1"/>
    <col min="14572" max="14572" width="22.875" style="720" customWidth="1"/>
    <col min="14573" max="14573" width="25.125" style="720" customWidth="1"/>
    <col min="14574" max="14821" width="9.875" style="720"/>
    <col min="14822" max="14822" width="8.5" style="720" customWidth="1"/>
    <col min="14823" max="14823" width="14" style="720" customWidth="1"/>
    <col min="14824" max="14824" width="17.875" style="720" customWidth="1"/>
    <col min="14825" max="14825" width="45" style="720" bestFit="1" customWidth="1"/>
    <col min="14826" max="14826" width="61.5" style="720" customWidth="1"/>
    <col min="14827" max="14827" width="20.5" style="720" customWidth="1"/>
    <col min="14828" max="14828" width="22.875" style="720" customWidth="1"/>
    <col min="14829" max="14829" width="25.125" style="720" customWidth="1"/>
    <col min="14830" max="15077" width="9.875" style="720"/>
    <col min="15078" max="15078" width="8.5" style="720" customWidth="1"/>
    <col min="15079" max="15079" width="14" style="720" customWidth="1"/>
    <col min="15080" max="15080" width="17.875" style="720" customWidth="1"/>
    <col min="15081" max="15081" width="45" style="720" bestFit="1" customWidth="1"/>
    <col min="15082" max="15082" width="61.5" style="720" customWidth="1"/>
    <col min="15083" max="15083" width="20.5" style="720" customWidth="1"/>
    <col min="15084" max="15084" width="22.875" style="720" customWidth="1"/>
    <col min="15085" max="15085" width="25.125" style="720" customWidth="1"/>
    <col min="15086" max="15333" width="9.875" style="720"/>
    <col min="15334" max="15334" width="8.5" style="720" customWidth="1"/>
    <col min="15335" max="15335" width="14" style="720" customWidth="1"/>
    <col min="15336" max="15336" width="17.875" style="720" customWidth="1"/>
    <col min="15337" max="15337" width="45" style="720" bestFit="1" customWidth="1"/>
    <col min="15338" max="15338" width="61.5" style="720" customWidth="1"/>
    <col min="15339" max="15339" width="20.5" style="720" customWidth="1"/>
    <col min="15340" max="15340" width="22.875" style="720" customWidth="1"/>
    <col min="15341" max="15341" width="25.125" style="720" customWidth="1"/>
    <col min="15342" max="15589" width="9.875" style="720"/>
    <col min="15590" max="15590" width="8.5" style="720" customWidth="1"/>
    <col min="15591" max="15591" width="14" style="720" customWidth="1"/>
    <col min="15592" max="15592" width="17.875" style="720" customWidth="1"/>
    <col min="15593" max="15593" width="45" style="720" bestFit="1" customWidth="1"/>
    <col min="15594" max="15594" width="61.5" style="720" customWidth="1"/>
    <col min="15595" max="15595" width="20.5" style="720" customWidth="1"/>
    <col min="15596" max="15596" width="22.875" style="720" customWidth="1"/>
    <col min="15597" max="15597" width="25.125" style="720" customWidth="1"/>
    <col min="15598" max="15845" width="9.875" style="720"/>
    <col min="15846" max="15846" width="8.5" style="720" customWidth="1"/>
    <col min="15847" max="15847" width="14" style="720" customWidth="1"/>
    <col min="15848" max="15848" width="17.875" style="720" customWidth="1"/>
    <col min="15849" max="15849" width="45" style="720" bestFit="1" customWidth="1"/>
    <col min="15850" max="15850" width="61.5" style="720" customWidth="1"/>
    <col min="15851" max="15851" width="20.5" style="720" customWidth="1"/>
    <col min="15852" max="15852" width="22.875" style="720" customWidth="1"/>
    <col min="15853" max="15853" width="25.125" style="720" customWidth="1"/>
    <col min="15854" max="16101" width="9.875" style="720"/>
    <col min="16102" max="16102" width="8.5" style="720" customWidth="1"/>
    <col min="16103" max="16103" width="14" style="720" customWidth="1"/>
    <col min="16104" max="16104" width="17.875" style="720" customWidth="1"/>
    <col min="16105" max="16105" width="45" style="720" bestFit="1" customWidth="1"/>
    <col min="16106" max="16106" width="61.5" style="720" customWidth="1"/>
    <col min="16107" max="16107" width="20.5" style="720" customWidth="1"/>
    <col min="16108" max="16108" width="22.875" style="720" customWidth="1"/>
    <col min="16109" max="16109" width="25.125" style="720" customWidth="1"/>
    <col min="16110" max="16384" width="9.875" style="720"/>
  </cols>
  <sheetData>
    <row r="1" spans="1:10" s="721" customFormat="1" ht="40.15" customHeight="1">
      <c r="A1" s="724" t="s">
        <v>149</v>
      </c>
      <c r="B1" s="724"/>
      <c r="C1" s="721"/>
      <c r="D1" s="721"/>
      <c r="E1" s="721"/>
      <c r="F1" s="721"/>
      <c r="G1" s="721"/>
      <c r="H1" s="721"/>
      <c r="I1" s="721"/>
      <c r="J1" s="721"/>
    </row>
    <row r="2" spans="1:10" s="722" customFormat="1" ht="19.899999999999999" customHeight="1">
      <c r="A2" s="724"/>
      <c r="B2" s="734"/>
      <c r="C2" s="721"/>
      <c r="D2" s="721"/>
      <c r="E2" s="721"/>
      <c r="F2" s="721"/>
      <c r="G2" s="721"/>
      <c r="H2" s="721"/>
      <c r="I2" s="721"/>
      <c r="J2" s="721"/>
    </row>
    <row r="3" spans="1:10" s="723" customFormat="1" ht="39.6" customHeight="1">
      <c r="A3" s="721"/>
      <c r="B3" s="735" t="s">
        <v>134</v>
      </c>
      <c r="C3" s="735"/>
      <c r="D3" s="735"/>
      <c r="E3" s="735"/>
      <c r="F3" s="735"/>
      <c r="G3" s="735"/>
      <c r="H3" s="735"/>
      <c r="I3" s="735"/>
      <c r="J3" s="721"/>
    </row>
    <row r="4" spans="1:10" s="722" customFormat="1" ht="25.15" customHeight="1">
      <c r="A4" s="721"/>
      <c r="B4" s="736" t="s">
        <v>326</v>
      </c>
      <c r="C4" s="742"/>
      <c r="D4" s="742"/>
      <c r="E4" s="742"/>
      <c r="F4" s="742"/>
      <c r="G4" s="742"/>
      <c r="H4" s="742"/>
      <c r="I4" s="753"/>
      <c r="J4" s="721"/>
    </row>
    <row r="5" spans="1:10" s="722" customFormat="1" ht="25.15" customHeight="1">
      <c r="A5" s="721"/>
      <c r="B5" s="737" t="s">
        <v>753</v>
      </c>
      <c r="C5" s="736" t="s">
        <v>760</v>
      </c>
      <c r="D5" s="742"/>
      <c r="E5" s="742"/>
      <c r="F5" s="742"/>
      <c r="G5" s="742"/>
      <c r="H5" s="742"/>
      <c r="I5" s="753"/>
      <c r="J5" s="721"/>
    </row>
    <row r="6" spans="1:10" s="722" customFormat="1" ht="25.15" customHeight="1">
      <c r="A6" s="721"/>
      <c r="B6" s="737" t="s">
        <v>762</v>
      </c>
      <c r="C6" s="736" t="s">
        <v>750</v>
      </c>
      <c r="D6" s="742"/>
      <c r="E6" s="742"/>
      <c r="F6" s="742"/>
      <c r="G6" s="742"/>
      <c r="H6" s="742"/>
      <c r="I6" s="753"/>
      <c r="J6" s="721"/>
    </row>
    <row r="7" spans="1:10" s="722" customFormat="1" ht="25.15" customHeight="1">
      <c r="A7" s="721"/>
      <c r="B7" s="737" t="s">
        <v>765</v>
      </c>
      <c r="C7" s="736" t="s">
        <v>710</v>
      </c>
      <c r="D7" s="742"/>
      <c r="E7" s="742"/>
      <c r="F7" s="742"/>
      <c r="G7" s="742"/>
      <c r="H7" s="742"/>
      <c r="I7" s="753"/>
      <c r="J7" s="721"/>
    </row>
    <row r="8" spans="1:10" s="722" customFormat="1" ht="25.15" customHeight="1">
      <c r="A8" s="721"/>
      <c r="B8" s="738"/>
      <c r="C8" s="721"/>
      <c r="D8" s="749"/>
      <c r="E8" s="749"/>
      <c r="F8" s="749"/>
      <c r="G8" s="749"/>
      <c r="H8" s="749"/>
      <c r="I8" s="749"/>
      <c r="J8" s="721"/>
    </row>
    <row r="9" spans="1:10" s="722" customFormat="1" ht="36" customHeight="1">
      <c r="A9" s="721"/>
      <c r="B9" s="735" t="s">
        <v>204</v>
      </c>
      <c r="C9" s="735"/>
      <c r="D9" s="735"/>
      <c r="E9" s="735"/>
      <c r="F9" s="735"/>
      <c r="G9" s="735"/>
      <c r="H9" s="735"/>
      <c r="I9" s="735"/>
      <c r="J9" s="721"/>
    </row>
    <row r="10" spans="1:10" s="722" customFormat="1" ht="25.15" customHeight="1">
      <c r="A10" s="721"/>
      <c r="B10" s="736" t="s">
        <v>85</v>
      </c>
      <c r="C10" s="742"/>
      <c r="D10" s="742"/>
      <c r="E10" s="742"/>
      <c r="F10" s="742"/>
      <c r="G10" s="742"/>
      <c r="H10" s="742"/>
      <c r="I10" s="753"/>
      <c r="J10" s="721"/>
    </row>
    <row r="11" spans="1:10" s="722" customFormat="1" ht="56.45" customHeight="1">
      <c r="A11" s="721"/>
      <c r="B11" s="737" t="s">
        <v>766</v>
      </c>
      <c r="C11" s="743" t="s">
        <v>770</v>
      </c>
      <c r="D11" s="750"/>
      <c r="E11" s="750"/>
      <c r="F11" s="750"/>
      <c r="G11" s="750"/>
      <c r="H11" s="750"/>
      <c r="I11" s="754"/>
      <c r="J11" s="721"/>
    </row>
    <row r="12" spans="1:10" s="722" customFormat="1" ht="54.6" customHeight="1">
      <c r="A12" s="721"/>
      <c r="B12" s="737"/>
      <c r="C12" s="744" t="s">
        <v>772</v>
      </c>
      <c r="D12" s="737" t="s">
        <v>617</v>
      </c>
      <c r="E12" s="743" t="s">
        <v>394</v>
      </c>
      <c r="F12" s="750"/>
      <c r="G12" s="750"/>
      <c r="H12" s="750"/>
      <c r="I12" s="754"/>
      <c r="J12" s="756"/>
    </row>
    <row r="13" spans="1:10" s="722" customFormat="1" ht="32.450000000000003" customHeight="1">
      <c r="A13" s="721"/>
      <c r="B13" s="737"/>
      <c r="C13" s="745"/>
      <c r="D13" s="737" t="s">
        <v>773</v>
      </c>
      <c r="E13" s="743" t="s">
        <v>776</v>
      </c>
      <c r="F13" s="750"/>
      <c r="G13" s="750"/>
      <c r="H13" s="750"/>
      <c r="I13" s="754"/>
      <c r="J13" s="756"/>
    </row>
    <row r="14" spans="1:10" s="722" customFormat="1" ht="25.15" customHeight="1">
      <c r="A14" s="721"/>
      <c r="B14" s="737" t="s">
        <v>665</v>
      </c>
      <c r="C14" s="736" t="s">
        <v>783</v>
      </c>
      <c r="D14" s="742"/>
      <c r="E14" s="742"/>
      <c r="F14" s="742"/>
      <c r="G14" s="742"/>
      <c r="H14" s="742"/>
      <c r="I14" s="753"/>
      <c r="J14" s="721"/>
    </row>
    <row r="15" spans="1:10" s="722" customFormat="1" ht="25.15" customHeight="1">
      <c r="A15" s="721"/>
      <c r="B15" s="721"/>
      <c r="C15" s="721"/>
      <c r="D15" s="721"/>
      <c r="E15" s="721"/>
      <c r="F15" s="721"/>
      <c r="G15" s="721"/>
      <c r="H15" s="721"/>
      <c r="I15" s="721"/>
      <c r="J15" s="721"/>
    </row>
    <row r="16" spans="1:10" ht="15.75" customHeight="1">
      <c r="A16" s="725"/>
      <c r="B16" s="725"/>
      <c r="C16" s="725"/>
      <c r="D16" s="725"/>
      <c r="E16" s="725"/>
      <c r="F16" s="725"/>
      <c r="G16" s="725"/>
      <c r="H16" s="725"/>
      <c r="I16" s="725"/>
      <c r="J16" s="725"/>
    </row>
    <row r="17" spans="1:10" ht="40.15" customHeight="1">
      <c r="A17" s="726" t="s">
        <v>392</v>
      </c>
      <c r="B17" s="739"/>
      <c r="C17" s="739"/>
      <c r="D17" s="739"/>
      <c r="E17" s="739"/>
      <c r="F17" s="739"/>
      <c r="G17" s="739"/>
      <c r="H17" s="739"/>
      <c r="I17" s="739"/>
      <c r="J17" s="757"/>
    </row>
    <row r="18" spans="1:10" ht="19.899999999999999" customHeight="1">
      <c r="A18" s="725"/>
      <c r="B18" s="730"/>
      <c r="C18" s="730"/>
      <c r="D18" s="730"/>
      <c r="E18" s="730"/>
      <c r="F18" s="730"/>
      <c r="G18" s="730"/>
      <c r="H18" s="730"/>
      <c r="I18" s="730"/>
    </row>
    <row r="19" spans="1:10" ht="40.15" customHeight="1">
      <c r="A19" s="727" t="s">
        <v>786</v>
      </c>
      <c r="B19" s="730"/>
      <c r="C19" s="746"/>
      <c r="D19" s="746"/>
      <c r="E19" s="730"/>
      <c r="F19" s="730"/>
      <c r="G19" s="730"/>
      <c r="H19" s="730"/>
      <c r="I19" s="730"/>
    </row>
    <row r="20" spans="1:10" ht="48">
      <c r="A20" s="728" t="s">
        <v>792</v>
      </c>
      <c r="B20" s="740"/>
      <c r="C20" s="747" t="s">
        <v>556</v>
      </c>
      <c r="D20" s="751" t="s">
        <v>512</v>
      </c>
      <c r="E20" s="751" t="s">
        <v>229</v>
      </c>
      <c r="F20" s="751" t="s">
        <v>758</v>
      </c>
      <c r="G20" s="719"/>
      <c r="H20" s="719"/>
      <c r="I20" s="719"/>
    </row>
    <row r="21" spans="1:10" ht="96">
      <c r="A21" s="729" t="s">
        <v>537</v>
      </c>
      <c r="B21" s="740"/>
      <c r="C21" s="748" t="s">
        <v>794</v>
      </c>
      <c r="D21" s="748" t="s">
        <v>182</v>
      </c>
      <c r="E21" s="748" t="s">
        <v>797</v>
      </c>
      <c r="F21" s="748" t="s">
        <v>798</v>
      </c>
      <c r="G21" s="719"/>
      <c r="H21" s="719"/>
      <c r="I21" s="719"/>
    </row>
    <row r="22" spans="1:10" ht="85.5">
      <c r="A22" s="729" t="s">
        <v>799</v>
      </c>
      <c r="B22" s="740"/>
      <c r="C22" s="748" t="s">
        <v>804</v>
      </c>
      <c r="D22" s="748" t="s">
        <v>384</v>
      </c>
      <c r="E22" s="748" t="s">
        <v>101</v>
      </c>
      <c r="F22" s="752" t="s">
        <v>809</v>
      </c>
      <c r="G22" s="730"/>
      <c r="H22" s="730"/>
      <c r="I22" s="730"/>
    </row>
    <row r="23" spans="1:10" ht="85.5">
      <c r="A23" s="729" t="s">
        <v>589</v>
      </c>
      <c r="B23" s="740"/>
      <c r="C23" s="748" t="s">
        <v>30</v>
      </c>
      <c r="D23" s="748" t="s">
        <v>811</v>
      </c>
      <c r="E23" s="748" t="s">
        <v>702</v>
      </c>
      <c r="F23" s="752" t="s">
        <v>816</v>
      </c>
      <c r="G23" s="730"/>
      <c r="H23" s="730"/>
      <c r="I23" s="730"/>
    </row>
    <row r="24" spans="1:10">
      <c r="A24" s="730"/>
      <c r="B24" s="730"/>
      <c r="C24" s="730"/>
      <c r="D24" s="730"/>
      <c r="E24" s="730"/>
      <c r="F24" s="730"/>
      <c r="G24" s="730"/>
      <c r="H24" s="730"/>
      <c r="I24" s="730"/>
    </row>
    <row r="25" spans="1:10" ht="24">
      <c r="A25" s="731" t="s">
        <v>822</v>
      </c>
      <c r="B25" s="731"/>
      <c r="C25" s="731"/>
      <c r="D25" s="731"/>
      <c r="E25" s="731"/>
      <c r="F25" s="731"/>
      <c r="G25" s="731"/>
      <c r="H25" s="731"/>
      <c r="I25" s="731"/>
    </row>
    <row r="26" spans="1:10" ht="24">
      <c r="A26" s="732" t="s">
        <v>823</v>
      </c>
      <c r="B26" s="732"/>
      <c r="C26" s="732"/>
      <c r="D26" s="732"/>
      <c r="E26" s="732"/>
      <c r="F26" s="732"/>
      <c r="G26" s="732"/>
      <c r="H26" s="732"/>
      <c r="I26" s="732"/>
    </row>
    <row r="27" spans="1:10" ht="24">
      <c r="A27" s="733" t="s">
        <v>827</v>
      </c>
      <c r="B27" s="741"/>
      <c r="C27" s="741"/>
      <c r="D27" s="741"/>
      <c r="E27" s="741"/>
      <c r="F27" s="741"/>
      <c r="G27" s="741"/>
      <c r="H27" s="741"/>
      <c r="I27" s="755"/>
    </row>
    <row r="28" spans="1:10">
      <c r="A28" s="730"/>
      <c r="B28" s="730"/>
      <c r="C28" s="730"/>
      <c r="D28" s="730"/>
      <c r="E28" s="730"/>
      <c r="F28" s="730"/>
      <c r="G28" s="730"/>
      <c r="H28" s="730"/>
      <c r="I28" s="730"/>
    </row>
    <row r="29" spans="1:10">
      <c r="A29" s="730"/>
      <c r="B29" s="730"/>
      <c r="C29" s="730"/>
      <c r="D29" s="730"/>
      <c r="E29" s="730"/>
      <c r="F29" s="730"/>
      <c r="G29" s="730"/>
      <c r="H29" s="730"/>
      <c r="I29" s="730"/>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BH1749"/>
  <sheetViews>
    <sheetView zoomScale="85" zoomScaleNormal="85" zoomScaleSheetLayoutView="85" workbookViewId="0">
      <selection activeCell="BC15" sqref="BC15"/>
    </sheetView>
  </sheetViews>
  <sheetFormatPr defaultColWidth="9" defaultRowHeight="13.5"/>
  <cols>
    <col min="1" max="1" width="38.375" style="44" customWidth="1"/>
    <col min="2" max="2" width="3.875" style="44" customWidth="1"/>
    <col min="3" max="13" width="6.625" style="44" customWidth="1"/>
    <col min="14" max="14" width="7.875" style="44" customWidth="1"/>
    <col min="15" max="15" width="17.125" style="44" customWidth="1"/>
    <col min="16" max="16" width="2.5" style="44" customWidth="1"/>
    <col min="17" max="17" width="36.5" style="44" bestFit="1" customWidth="1"/>
    <col min="18" max="18" width="17.5" style="44" customWidth="1"/>
    <col min="19" max="19" width="2.625" style="44" customWidth="1"/>
    <col min="20" max="20" width="14.625" style="44" customWidth="1"/>
    <col min="21" max="21" width="2.875" style="44" customWidth="1"/>
    <col min="22" max="23" width="8.375" style="44" customWidth="1"/>
    <col min="24" max="24" width="1.75" style="44" customWidth="1"/>
    <col min="25" max="25" width="8.875" style="44" customWidth="1"/>
    <col min="26" max="26" width="13.5" style="44" customWidth="1"/>
    <col min="27" max="27" width="10.75" style="44" customWidth="1"/>
    <col min="28" max="28" width="18.125" style="44" customWidth="1"/>
    <col min="29" max="29" width="16.125" style="44" customWidth="1"/>
    <col min="30" max="30" width="12.125" style="44" customWidth="1"/>
    <col min="31" max="32" width="9" style="44"/>
    <col min="33" max="33" width="37.5" style="128" customWidth="1"/>
    <col min="34" max="34" width="9.25" style="44" customWidth="1"/>
    <col min="35" max="35" width="9" style="44"/>
    <col min="36" max="36" width="19.5" style="44" customWidth="1"/>
    <col min="37" max="38" width="9" style="44" hidden="1" customWidth="1"/>
    <col min="39" max="39" width="10.5" style="758" hidden="1" customWidth="1"/>
    <col min="40" max="40" width="10.5" style="758" customWidth="1"/>
    <col min="41" max="41" width="45.125" style="44" customWidth="1"/>
    <col min="42" max="42" width="9" style="44"/>
    <col min="43" max="43" width="3.125" style="44" customWidth="1"/>
    <col min="44" max="44" width="38.375" style="44" customWidth="1"/>
    <col min="45" max="45" width="46.125" style="44" customWidth="1"/>
    <col min="46" max="46" width="39.375" style="44" customWidth="1"/>
    <col min="47" max="47" width="39.625" style="44" customWidth="1"/>
    <col min="48" max="48" width="36.875" style="44" customWidth="1"/>
    <col min="49" max="49" width="2.25" style="44" customWidth="1"/>
    <col min="50" max="50" width="37.5" style="44" customWidth="1"/>
    <col min="51" max="51" width="47.375" style="44" customWidth="1"/>
    <col min="52" max="52" width="34.25" style="128" customWidth="1"/>
    <col min="53" max="53" width="36.875" style="44" customWidth="1"/>
    <col min="54" max="54" width="33.75" style="44" customWidth="1"/>
    <col min="55" max="55" width="32.5" style="44" customWidth="1"/>
    <col min="56" max="56" width="22.25" style="44" customWidth="1"/>
    <col min="57" max="57" width="9" style="44"/>
    <col min="58" max="58" width="88.5" style="44" customWidth="1"/>
    <col min="59" max="59" width="3.25" style="44" customWidth="1"/>
    <col min="60" max="60" width="13.125" style="44" bestFit="1" customWidth="1"/>
    <col min="61" max="16384" width="9" style="44"/>
  </cols>
  <sheetData>
    <row r="1" spans="1:60" ht="14.25">
      <c r="A1" s="128" t="s">
        <v>829</v>
      </c>
      <c r="B1" s="128"/>
      <c r="C1" s="128"/>
      <c r="D1" s="128"/>
      <c r="E1" s="128"/>
      <c r="F1" s="128"/>
      <c r="G1" s="128"/>
      <c r="H1" s="128"/>
      <c r="I1" s="128"/>
      <c r="J1" s="128"/>
      <c r="K1" s="128"/>
      <c r="L1" s="128"/>
      <c r="M1" s="128"/>
      <c r="N1" s="128"/>
      <c r="O1" s="128"/>
      <c r="Q1" s="44" t="s">
        <v>834</v>
      </c>
      <c r="T1" s="128" t="s">
        <v>838</v>
      </c>
      <c r="V1" s="128" t="s">
        <v>839</v>
      </c>
      <c r="Y1" s="758" t="s">
        <v>840</v>
      </c>
      <c r="Z1" s="44"/>
      <c r="AA1" s="44"/>
      <c r="AB1" s="44"/>
      <c r="AD1" s="44"/>
      <c r="AE1" s="758"/>
      <c r="AG1" s="44"/>
      <c r="AJ1" s="128" t="s">
        <v>550</v>
      </c>
      <c r="AK1" s="128" t="s">
        <v>236</v>
      </c>
      <c r="AL1" s="128"/>
      <c r="AM1" s="128"/>
      <c r="AN1" s="128"/>
      <c r="AO1" s="128" t="s">
        <v>843</v>
      </c>
      <c r="AP1" s="128"/>
      <c r="AQ1" s="128"/>
      <c r="AR1" s="128" t="s">
        <v>135</v>
      </c>
      <c r="AS1" s="128"/>
      <c r="AT1" s="128"/>
      <c r="AU1" s="128"/>
      <c r="AV1" s="128"/>
      <c r="AX1" s="128" t="s">
        <v>234</v>
      </c>
      <c r="AY1" s="128"/>
      <c r="BA1" s="128"/>
      <c r="BB1" s="128"/>
      <c r="BC1" s="128"/>
      <c r="BD1" s="128"/>
      <c r="BF1" s="128" t="s">
        <v>109</v>
      </c>
      <c r="BH1" s="128" t="s">
        <v>778</v>
      </c>
    </row>
    <row r="2" spans="1:60" ht="14.25">
      <c r="A2" s="759" t="s">
        <v>844</v>
      </c>
      <c r="B2" s="770" t="s">
        <v>230</v>
      </c>
      <c r="C2" s="778" t="s">
        <v>845</v>
      </c>
      <c r="D2" s="778"/>
      <c r="E2" s="778"/>
      <c r="F2" s="796"/>
      <c r="G2" s="797" t="s">
        <v>240</v>
      </c>
      <c r="H2" s="778"/>
      <c r="I2" s="778"/>
      <c r="J2" s="778"/>
      <c r="K2" s="778"/>
      <c r="L2" s="778"/>
      <c r="M2" s="796"/>
      <c r="N2" s="797" t="s">
        <v>849</v>
      </c>
      <c r="O2" s="820" t="s">
        <v>769</v>
      </c>
      <c r="Q2" s="827" t="s">
        <v>857</v>
      </c>
      <c r="R2" s="833"/>
      <c r="T2" s="839" t="s">
        <v>68</v>
      </c>
      <c r="V2" s="839" t="s">
        <v>68</v>
      </c>
      <c r="W2" s="839" t="s">
        <v>858</v>
      </c>
      <c r="Y2" s="841" t="s">
        <v>650</v>
      </c>
      <c r="Z2" s="847" t="s">
        <v>860</v>
      </c>
      <c r="AA2" s="854" t="s">
        <v>68</v>
      </c>
      <c r="AB2" s="863" t="s">
        <v>479</v>
      </c>
      <c r="AC2" s="870" t="s">
        <v>864</v>
      </c>
      <c r="AD2" s="879">
        <v>0.7</v>
      </c>
      <c r="AE2" s="888">
        <v>0.55000000000000004</v>
      </c>
      <c r="AF2" s="893">
        <v>0.45</v>
      </c>
      <c r="AG2" s="841" t="s">
        <v>865</v>
      </c>
      <c r="AH2" s="900" t="s">
        <v>565</v>
      </c>
      <c r="AJ2" s="903" t="s">
        <v>867</v>
      </c>
      <c r="AK2" s="907" t="s">
        <v>830</v>
      </c>
      <c r="AL2" s="44"/>
      <c r="AM2" s="44"/>
      <c r="AN2" s="44"/>
      <c r="AO2" s="910" t="s">
        <v>844</v>
      </c>
      <c r="AP2" s="912" t="s">
        <v>871</v>
      </c>
      <c r="AQ2" s="26"/>
      <c r="AR2" s="918" t="s">
        <v>844</v>
      </c>
      <c r="AS2" s="921"/>
      <c r="AT2" s="922" t="s">
        <v>874</v>
      </c>
      <c r="AU2" s="927"/>
      <c r="AV2" s="913"/>
      <c r="AX2" s="934" t="s">
        <v>844</v>
      </c>
      <c r="AY2" s="937" t="s">
        <v>875</v>
      </c>
      <c r="AZ2" s="937"/>
      <c r="BA2" s="937"/>
      <c r="BB2" s="937"/>
      <c r="BC2" s="937"/>
      <c r="BD2" s="954"/>
      <c r="BF2" s="964" t="s">
        <v>775</v>
      </c>
      <c r="BH2" s="903" t="s">
        <v>867</v>
      </c>
    </row>
    <row r="3" spans="1:60" ht="23.25">
      <c r="A3" s="760"/>
      <c r="B3" s="771"/>
      <c r="C3" s="779" t="s">
        <v>604</v>
      </c>
      <c r="D3" s="787" t="s">
        <v>876</v>
      </c>
      <c r="E3" s="787" t="s">
        <v>877</v>
      </c>
      <c r="F3" s="787" t="s">
        <v>878</v>
      </c>
      <c r="G3" s="779" t="s">
        <v>164</v>
      </c>
      <c r="H3" s="779" t="s">
        <v>855</v>
      </c>
      <c r="I3" s="787" t="s">
        <v>881</v>
      </c>
      <c r="J3" s="787" t="s">
        <v>886</v>
      </c>
      <c r="K3" s="787" t="s">
        <v>877</v>
      </c>
      <c r="L3" s="787" t="s">
        <v>878</v>
      </c>
      <c r="M3" s="803" t="s">
        <v>389</v>
      </c>
      <c r="N3" s="813"/>
      <c r="O3" s="821"/>
      <c r="P3" s="795"/>
      <c r="Q3" s="828" t="s">
        <v>887</v>
      </c>
      <c r="R3" s="834" t="s">
        <v>891</v>
      </c>
      <c r="S3" s="795"/>
      <c r="T3" s="840" t="s">
        <v>893</v>
      </c>
      <c r="V3" s="840" t="s">
        <v>893</v>
      </c>
      <c r="W3" s="840" t="s">
        <v>894</v>
      </c>
      <c r="Y3" s="842" t="s">
        <v>340</v>
      </c>
      <c r="Z3" s="848">
        <v>0.2</v>
      </c>
      <c r="AA3" s="855" t="s">
        <v>375</v>
      </c>
      <c r="AB3" s="864" t="s">
        <v>415</v>
      </c>
      <c r="AC3" s="871" t="str">
        <f t="shared" ref="AC3:AC66" si="0">AA3&amp;AB3</f>
        <v>東京都千代田区</v>
      </c>
      <c r="AD3" s="880">
        <v>11.4</v>
      </c>
      <c r="AE3" s="889">
        <v>11.1</v>
      </c>
      <c r="AF3" s="894">
        <v>10.9</v>
      </c>
      <c r="AG3" s="842" t="s">
        <v>896</v>
      </c>
      <c r="AH3" s="848">
        <v>0.7</v>
      </c>
      <c r="AI3" s="795"/>
      <c r="AJ3" s="904" t="s">
        <v>379</v>
      </c>
      <c r="AK3" s="908" t="s">
        <v>379</v>
      </c>
      <c r="AL3" s="44"/>
      <c r="AM3" s="44"/>
      <c r="AN3" s="44"/>
      <c r="AO3" s="761" t="s">
        <v>896</v>
      </c>
      <c r="AP3" s="913" t="s">
        <v>871</v>
      </c>
      <c r="AQ3" s="917"/>
      <c r="AR3" s="919" t="s">
        <v>896</v>
      </c>
      <c r="AS3" s="764" t="s">
        <v>435</v>
      </c>
      <c r="AT3" s="923" t="s">
        <v>901</v>
      </c>
      <c r="AU3" s="928" t="s">
        <v>903</v>
      </c>
      <c r="AV3" s="931"/>
      <c r="AX3" s="761" t="s">
        <v>896</v>
      </c>
      <c r="AY3" s="938" t="s">
        <v>627</v>
      </c>
      <c r="AZ3" s="822" t="s">
        <v>861</v>
      </c>
      <c r="BA3" s="822" t="s">
        <v>764</v>
      </c>
      <c r="BB3" s="947" t="s">
        <v>904</v>
      </c>
      <c r="BC3" s="949"/>
      <c r="BD3" s="908"/>
      <c r="BF3" s="965"/>
      <c r="BH3" s="904" t="s">
        <v>379</v>
      </c>
    </row>
    <row r="4" spans="1:60" ht="14.25" customHeight="1">
      <c r="A4" s="761" t="s">
        <v>896</v>
      </c>
      <c r="B4" s="772" t="s">
        <v>684</v>
      </c>
      <c r="C4" s="780">
        <v>0.245</v>
      </c>
      <c r="D4" s="788">
        <v>0.224</v>
      </c>
      <c r="E4" s="788">
        <v>0.182</v>
      </c>
      <c r="F4" s="788">
        <v>0.14499999999999999</v>
      </c>
      <c r="G4" s="798">
        <v>0.27</v>
      </c>
      <c r="H4" s="798">
        <v>0.28699999999999998</v>
      </c>
      <c r="I4" s="798">
        <v>0.249</v>
      </c>
      <c r="J4" s="798">
        <v>0.26600000000000001</v>
      </c>
      <c r="K4" s="798">
        <v>0.20699999999999999</v>
      </c>
      <c r="L4" s="798">
        <v>0.17</v>
      </c>
      <c r="M4" s="804"/>
      <c r="N4" s="814" t="s">
        <v>887</v>
      </c>
      <c r="O4" s="822" t="s">
        <v>366</v>
      </c>
      <c r="P4" s="826"/>
      <c r="Q4" s="829" t="s">
        <v>164</v>
      </c>
      <c r="R4" s="835" t="s">
        <v>849</v>
      </c>
      <c r="S4" s="826"/>
      <c r="T4" s="830" t="s">
        <v>79</v>
      </c>
      <c r="V4" s="840" t="s">
        <v>893</v>
      </c>
      <c r="W4" s="830" t="s">
        <v>908</v>
      </c>
      <c r="Y4" s="843" t="s">
        <v>340</v>
      </c>
      <c r="Z4" s="849">
        <v>0.2</v>
      </c>
      <c r="AA4" s="856" t="s">
        <v>375</v>
      </c>
      <c r="AB4" s="865" t="s">
        <v>456</v>
      </c>
      <c r="AC4" s="872" t="str">
        <f t="shared" si="0"/>
        <v>東京都中央区</v>
      </c>
      <c r="AD4" s="881">
        <v>11.4</v>
      </c>
      <c r="AE4" s="890">
        <v>11.1</v>
      </c>
      <c r="AF4" s="895">
        <v>10.9</v>
      </c>
      <c r="AG4" s="843" t="s">
        <v>911</v>
      </c>
      <c r="AH4" s="849">
        <v>0.7</v>
      </c>
      <c r="AI4" s="826"/>
      <c r="AJ4" s="905"/>
      <c r="AK4" s="909" t="s">
        <v>830</v>
      </c>
      <c r="AL4" s="44"/>
      <c r="AM4" s="44"/>
      <c r="AN4" s="44"/>
      <c r="AO4" s="762" t="s">
        <v>911</v>
      </c>
      <c r="AP4" s="914" t="s">
        <v>871</v>
      </c>
      <c r="AQ4" s="917"/>
      <c r="AR4" s="763" t="s">
        <v>911</v>
      </c>
      <c r="AS4" s="764" t="s">
        <v>122</v>
      </c>
      <c r="AT4" s="924" t="s">
        <v>376</v>
      </c>
      <c r="AU4" s="929" t="s">
        <v>301</v>
      </c>
      <c r="AV4" s="932"/>
      <c r="AX4" s="762" t="s">
        <v>911</v>
      </c>
      <c r="AY4" s="919" t="s">
        <v>179</v>
      </c>
      <c r="AZ4" s="823" t="s">
        <v>861</v>
      </c>
      <c r="BA4" s="823" t="s">
        <v>892</v>
      </c>
      <c r="BB4" s="374" t="s">
        <v>904</v>
      </c>
      <c r="BC4" s="950"/>
      <c r="BD4" s="909"/>
      <c r="BF4" s="128"/>
      <c r="BH4" s="972" t="s">
        <v>830</v>
      </c>
    </row>
    <row r="5" spans="1:60" ht="14.25" customHeight="1">
      <c r="A5" s="762" t="s">
        <v>911</v>
      </c>
      <c r="B5" s="773" t="s">
        <v>790</v>
      </c>
      <c r="C5" s="781">
        <v>0.245</v>
      </c>
      <c r="D5" s="789">
        <v>0.224</v>
      </c>
      <c r="E5" s="789">
        <v>0.182</v>
      </c>
      <c r="F5" s="789">
        <v>0.14499999999999999</v>
      </c>
      <c r="G5" s="799">
        <v>0.26700000000000002</v>
      </c>
      <c r="H5" s="799">
        <v>0.27800000000000002</v>
      </c>
      <c r="I5" s="799">
        <v>0.246</v>
      </c>
      <c r="J5" s="799">
        <v>0.25700000000000001</v>
      </c>
      <c r="K5" s="799">
        <v>0.20399999999999999</v>
      </c>
      <c r="L5" s="799">
        <v>0.16700000000000001</v>
      </c>
      <c r="M5" s="805"/>
      <c r="N5" s="815" t="s">
        <v>887</v>
      </c>
      <c r="O5" s="823" t="s">
        <v>366</v>
      </c>
      <c r="P5" s="826"/>
      <c r="Q5" s="830" t="s">
        <v>855</v>
      </c>
      <c r="R5" s="836"/>
      <c r="S5" s="826"/>
      <c r="T5" s="830" t="s">
        <v>916</v>
      </c>
      <c r="V5" s="840" t="s">
        <v>893</v>
      </c>
      <c r="W5" s="830" t="s">
        <v>917</v>
      </c>
      <c r="Y5" s="843" t="s">
        <v>340</v>
      </c>
      <c r="Z5" s="849">
        <v>0.2</v>
      </c>
      <c r="AA5" s="856" t="s">
        <v>375</v>
      </c>
      <c r="AB5" s="865" t="s">
        <v>177</v>
      </c>
      <c r="AC5" s="872" t="str">
        <f t="shared" si="0"/>
        <v>東京都港区</v>
      </c>
      <c r="AD5" s="881">
        <v>11.4</v>
      </c>
      <c r="AE5" s="890">
        <v>11.1</v>
      </c>
      <c r="AF5" s="895">
        <v>10.9</v>
      </c>
      <c r="AG5" s="762" t="s">
        <v>918</v>
      </c>
      <c r="AH5" s="849">
        <v>0.7</v>
      </c>
      <c r="AI5" s="826"/>
      <c r="AJ5" s="44"/>
      <c r="AK5" s="905"/>
      <c r="AL5" s="44"/>
      <c r="AM5" s="44"/>
      <c r="AN5" s="44"/>
      <c r="AO5" s="762" t="s">
        <v>918</v>
      </c>
      <c r="AP5" s="914" t="s">
        <v>871</v>
      </c>
      <c r="AQ5" s="917"/>
      <c r="AR5" s="763" t="s">
        <v>918</v>
      </c>
      <c r="AS5" s="764" t="s">
        <v>637</v>
      </c>
      <c r="AT5" s="924" t="s">
        <v>376</v>
      </c>
      <c r="AU5" s="929" t="s">
        <v>301</v>
      </c>
      <c r="AV5" s="932"/>
      <c r="AX5" s="762" t="s">
        <v>918</v>
      </c>
      <c r="AY5" s="919" t="s">
        <v>924</v>
      </c>
      <c r="AZ5" s="823" t="s">
        <v>861</v>
      </c>
      <c r="BA5" s="823" t="s">
        <v>892</v>
      </c>
      <c r="BB5" s="374" t="s">
        <v>904</v>
      </c>
      <c r="BC5" s="950"/>
      <c r="BD5" s="909"/>
      <c r="BF5" s="964" t="s">
        <v>775</v>
      </c>
      <c r="BH5" s="905"/>
    </row>
    <row r="6" spans="1:60" ht="14.25" customHeight="1">
      <c r="A6" s="762" t="s">
        <v>918</v>
      </c>
      <c r="B6" s="773" t="s">
        <v>928</v>
      </c>
      <c r="C6" s="781">
        <v>0.245</v>
      </c>
      <c r="D6" s="789">
        <v>0.224</v>
      </c>
      <c r="E6" s="789">
        <v>0.182</v>
      </c>
      <c r="F6" s="789">
        <v>0.14499999999999999</v>
      </c>
      <c r="G6" s="799">
        <v>0.26700000000000002</v>
      </c>
      <c r="H6" s="799">
        <v>0.27800000000000002</v>
      </c>
      <c r="I6" s="799">
        <v>0.246</v>
      </c>
      <c r="J6" s="799">
        <v>0.25700000000000001</v>
      </c>
      <c r="K6" s="799">
        <v>0.20399999999999999</v>
      </c>
      <c r="L6" s="799">
        <v>0.16700000000000001</v>
      </c>
      <c r="M6" s="805"/>
      <c r="N6" s="815" t="s">
        <v>887</v>
      </c>
      <c r="O6" s="823" t="s">
        <v>366</v>
      </c>
      <c r="P6" s="795"/>
      <c r="Q6" s="831" t="s">
        <v>881</v>
      </c>
      <c r="R6" s="837"/>
      <c r="S6" s="795"/>
      <c r="T6" s="830" t="s">
        <v>625</v>
      </c>
      <c r="V6" s="840" t="s">
        <v>893</v>
      </c>
      <c r="W6" s="830" t="s">
        <v>771</v>
      </c>
      <c r="Y6" s="843" t="s">
        <v>340</v>
      </c>
      <c r="Z6" s="849">
        <v>0.2</v>
      </c>
      <c r="AA6" s="856" t="s">
        <v>375</v>
      </c>
      <c r="AB6" s="865" t="s">
        <v>532</v>
      </c>
      <c r="AC6" s="872" t="str">
        <f t="shared" si="0"/>
        <v>東京都新宿区</v>
      </c>
      <c r="AD6" s="881">
        <v>11.4</v>
      </c>
      <c r="AE6" s="890">
        <v>11.1</v>
      </c>
      <c r="AF6" s="895">
        <v>10.9</v>
      </c>
      <c r="AG6" s="843" t="s">
        <v>787</v>
      </c>
      <c r="AH6" s="849">
        <v>0.7</v>
      </c>
      <c r="AI6" s="795"/>
      <c r="AJ6" s="906"/>
      <c r="AK6" s="44"/>
      <c r="AL6" s="44"/>
      <c r="AM6" s="44"/>
      <c r="AN6" s="44"/>
      <c r="AO6" s="762" t="s">
        <v>787</v>
      </c>
      <c r="AP6" s="914" t="s">
        <v>871</v>
      </c>
      <c r="AQ6" s="917"/>
      <c r="AR6" s="763" t="s">
        <v>787</v>
      </c>
      <c r="AS6" s="764" t="s">
        <v>899</v>
      </c>
      <c r="AT6" s="924" t="s">
        <v>376</v>
      </c>
      <c r="AU6" s="929" t="s">
        <v>301</v>
      </c>
      <c r="AV6" s="932"/>
      <c r="AX6" s="762" t="s">
        <v>787</v>
      </c>
      <c r="AY6" s="919" t="s">
        <v>464</v>
      </c>
      <c r="AZ6" s="823" t="s">
        <v>861</v>
      </c>
      <c r="BA6" s="823" t="s">
        <v>892</v>
      </c>
      <c r="BB6" s="374" t="s">
        <v>904</v>
      </c>
      <c r="BC6" s="950"/>
      <c r="BD6" s="909"/>
      <c r="BF6" s="966" t="s">
        <v>553</v>
      </c>
    </row>
    <row r="7" spans="1:60" ht="14.25" customHeight="1">
      <c r="A7" s="762" t="s">
        <v>787</v>
      </c>
      <c r="B7" s="773" t="s">
        <v>564</v>
      </c>
      <c r="C7" s="781">
        <v>1.e-001</v>
      </c>
      <c r="D7" s="789">
        <v>9.4e-002</v>
      </c>
      <c r="E7" s="789">
        <v>7.9000000000000001e-002</v>
      </c>
      <c r="F7" s="789">
        <v>6.3e-002</v>
      </c>
      <c r="G7" s="799">
        <v>0.122</v>
      </c>
      <c r="H7" s="799">
        <v>0.13300000000000001</v>
      </c>
      <c r="I7" s="799">
        <v>0.11600000000000001</v>
      </c>
      <c r="J7" s="799">
        <v>0.127</v>
      </c>
      <c r="K7" s="799">
        <v>0.10100000000000001</v>
      </c>
      <c r="L7" s="799">
        <v>8.5000000000000006e-002</v>
      </c>
      <c r="M7" s="805"/>
      <c r="N7" s="815" t="s">
        <v>887</v>
      </c>
      <c r="O7" s="823" t="s">
        <v>366</v>
      </c>
      <c r="P7" s="826"/>
      <c r="Q7" s="830" t="s">
        <v>886</v>
      </c>
      <c r="R7" s="836"/>
      <c r="S7" s="826"/>
      <c r="T7" s="830" t="s">
        <v>482</v>
      </c>
      <c r="V7" s="840" t="s">
        <v>893</v>
      </c>
      <c r="W7" s="830" t="s">
        <v>930</v>
      </c>
      <c r="Y7" s="843" t="s">
        <v>340</v>
      </c>
      <c r="Z7" s="849">
        <v>0.2</v>
      </c>
      <c r="AA7" s="856" t="s">
        <v>375</v>
      </c>
      <c r="AB7" s="865" t="s">
        <v>931</v>
      </c>
      <c r="AC7" s="872" t="str">
        <f t="shared" si="0"/>
        <v>東京都文京区</v>
      </c>
      <c r="AD7" s="881">
        <v>11.4</v>
      </c>
      <c r="AE7" s="890">
        <v>11.1</v>
      </c>
      <c r="AF7" s="895">
        <v>10.9</v>
      </c>
      <c r="AG7" s="843" t="s">
        <v>603</v>
      </c>
      <c r="AH7" s="849">
        <v>0.7</v>
      </c>
      <c r="AI7" s="826"/>
      <c r="AJ7" s="44"/>
      <c r="AK7" s="44"/>
      <c r="AL7" s="44"/>
      <c r="AM7" s="44"/>
      <c r="AN7" s="44"/>
      <c r="AO7" s="762" t="s">
        <v>603</v>
      </c>
      <c r="AP7" s="914" t="s">
        <v>932</v>
      </c>
      <c r="AQ7" s="917"/>
      <c r="AR7" s="763" t="s">
        <v>603</v>
      </c>
      <c r="AS7" s="764" t="s">
        <v>605</v>
      </c>
      <c r="AT7" s="924" t="s">
        <v>376</v>
      </c>
      <c r="AU7" s="929" t="s">
        <v>301</v>
      </c>
      <c r="AV7" s="932"/>
      <c r="AX7" s="762" t="s">
        <v>603</v>
      </c>
      <c r="AY7" s="919" t="s">
        <v>61</v>
      </c>
      <c r="AZ7" s="823" t="s">
        <v>861</v>
      </c>
      <c r="BA7" s="823" t="s">
        <v>892</v>
      </c>
      <c r="BB7" s="374" t="s">
        <v>904</v>
      </c>
      <c r="BC7" s="950"/>
      <c r="BD7" s="909"/>
      <c r="BF7" s="966" t="s">
        <v>934</v>
      </c>
    </row>
    <row r="8" spans="1:60" ht="14.25" customHeight="1">
      <c r="A8" s="762" t="s">
        <v>603</v>
      </c>
      <c r="B8" s="773" t="s">
        <v>936</v>
      </c>
      <c r="C8" s="781">
        <v>1.e-001</v>
      </c>
      <c r="D8" s="789">
        <v>9.4e-002</v>
      </c>
      <c r="E8" s="789">
        <v>7.9000000000000001e-002</v>
      </c>
      <c r="F8" s="789">
        <v>6.3e-002</v>
      </c>
      <c r="G8" s="799">
        <v>0.122</v>
      </c>
      <c r="H8" s="799">
        <v>0.13300000000000001</v>
      </c>
      <c r="I8" s="799">
        <v>0.11600000000000001</v>
      </c>
      <c r="J8" s="799">
        <v>0.127</v>
      </c>
      <c r="K8" s="799">
        <v>0.10100000000000001</v>
      </c>
      <c r="L8" s="799">
        <v>8.5000000000000006e-002</v>
      </c>
      <c r="M8" s="805"/>
      <c r="N8" s="815" t="s">
        <v>887</v>
      </c>
      <c r="O8" s="823" t="s">
        <v>937</v>
      </c>
      <c r="P8" s="826"/>
      <c r="Q8" s="830" t="s">
        <v>877</v>
      </c>
      <c r="R8" s="836"/>
      <c r="S8" s="826"/>
      <c r="T8" s="830" t="s">
        <v>666</v>
      </c>
      <c r="V8" s="840" t="s">
        <v>893</v>
      </c>
      <c r="W8" s="830" t="s">
        <v>468</v>
      </c>
      <c r="Y8" s="843" t="s">
        <v>340</v>
      </c>
      <c r="Z8" s="849">
        <v>0.2</v>
      </c>
      <c r="AA8" s="856" t="s">
        <v>375</v>
      </c>
      <c r="AB8" s="865" t="s">
        <v>944</v>
      </c>
      <c r="AC8" s="872" t="str">
        <f t="shared" si="0"/>
        <v>東京都台東区</v>
      </c>
      <c r="AD8" s="881">
        <v>11.4</v>
      </c>
      <c r="AE8" s="890">
        <v>11.1</v>
      </c>
      <c r="AF8" s="895">
        <v>10.9</v>
      </c>
      <c r="AG8" s="843" t="s">
        <v>852</v>
      </c>
      <c r="AH8" s="849">
        <v>0.45</v>
      </c>
      <c r="AI8" s="826"/>
      <c r="AJ8" s="44"/>
      <c r="AK8" s="44"/>
      <c r="AL8" s="44"/>
      <c r="AM8" s="44"/>
      <c r="AN8" s="44"/>
      <c r="AO8" s="762" t="s">
        <v>852</v>
      </c>
      <c r="AP8" s="914" t="s">
        <v>871</v>
      </c>
      <c r="AQ8" s="917"/>
      <c r="AR8" s="763" t="s">
        <v>852</v>
      </c>
      <c r="AS8" s="764" t="s">
        <v>539</v>
      </c>
      <c r="AT8" s="924" t="s">
        <v>376</v>
      </c>
      <c r="AU8" s="929" t="s">
        <v>301</v>
      </c>
      <c r="AV8" s="932"/>
      <c r="AX8" s="762" t="s">
        <v>852</v>
      </c>
      <c r="AY8" s="919" t="s">
        <v>526</v>
      </c>
      <c r="AZ8" s="823" t="s">
        <v>861</v>
      </c>
      <c r="BA8" s="823" t="s">
        <v>892</v>
      </c>
      <c r="BB8" s="374" t="s">
        <v>904</v>
      </c>
      <c r="BC8" s="950"/>
      <c r="BD8" s="909"/>
      <c r="BF8" s="965"/>
    </row>
    <row r="9" spans="1:60" ht="14.25" customHeight="1">
      <c r="A9" s="762" t="s">
        <v>852</v>
      </c>
      <c r="B9" s="773" t="s">
        <v>945</v>
      </c>
      <c r="C9" s="781">
        <v>9.1999999999999985e-002</v>
      </c>
      <c r="D9" s="789">
        <v>8.9999999999999983e-002</v>
      </c>
      <c r="E9" s="789">
        <v>7.9999999999999988e-002</v>
      </c>
      <c r="F9" s="789">
        <v>6.3999999999999987e-002</v>
      </c>
      <c r="G9" s="799">
        <v>0.111</v>
      </c>
      <c r="H9" s="799">
        <v>0.12</v>
      </c>
      <c r="I9" s="799">
        <v>0.109</v>
      </c>
      <c r="J9" s="799">
        <v>0.11799999999999999</v>
      </c>
      <c r="K9" s="799">
        <v>9.9000000000000005e-002</v>
      </c>
      <c r="L9" s="799">
        <v>8.3000000000000004e-002</v>
      </c>
      <c r="M9" s="805"/>
      <c r="N9" s="815" t="s">
        <v>887</v>
      </c>
      <c r="O9" s="823" t="s">
        <v>366</v>
      </c>
      <c r="P9" s="826"/>
      <c r="Q9" s="832" t="s">
        <v>878</v>
      </c>
      <c r="R9" s="838"/>
      <c r="S9" s="826"/>
      <c r="T9" s="830" t="s">
        <v>948</v>
      </c>
      <c r="V9" s="840" t="s">
        <v>893</v>
      </c>
      <c r="W9" s="830" t="s">
        <v>951</v>
      </c>
      <c r="Y9" s="843" t="s">
        <v>340</v>
      </c>
      <c r="Z9" s="849">
        <v>0.2</v>
      </c>
      <c r="AA9" s="856" t="s">
        <v>375</v>
      </c>
      <c r="AB9" s="865" t="s">
        <v>497</v>
      </c>
      <c r="AC9" s="872" t="str">
        <f t="shared" si="0"/>
        <v>東京都墨田区</v>
      </c>
      <c r="AD9" s="881">
        <v>11.4</v>
      </c>
      <c r="AE9" s="890">
        <v>11.1</v>
      </c>
      <c r="AF9" s="895">
        <v>10.9</v>
      </c>
      <c r="AG9" s="843" t="s">
        <v>255</v>
      </c>
      <c r="AH9" s="849">
        <v>0.45</v>
      </c>
      <c r="AI9" s="826"/>
      <c r="AJ9" s="44"/>
      <c r="AK9" s="44"/>
      <c r="AL9" s="44"/>
      <c r="AM9" s="44"/>
      <c r="AN9" s="44"/>
      <c r="AO9" s="762" t="s">
        <v>255</v>
      </c>
      <c r="AP9" s="914" t="s">
        <v>871</v>
      </c>
      <c r="AQ9" s="917"/>
      <c r="AR9" s="763" t="s">
        <v>255</v>
      </c>
      <c r="AS9" s="764" t="s">
        <v>953</v>
      </c>
      <c r="AT9" s="924" t="s">
        <v>376</v>
      </c>
      <c r="AU9" s="929" t="s">
        <v>301</v>
      </c>
      <c r="AV9" s="812" t="s">
        <v>955</v>
      </c>
      <c r="AX9" s="762" t="s">
        <v>255</v>
      </c>
      <c r="AY9" s="919" t="s">
        <v>912</v>
      </c>
      <c r="AZ9" s="823" t="s">
        <v>861</v>
      </c>
      <c r="BA9" s="823" t="s">
        <v>892</v>
      </c>
      <c r="BB9" s="374" t="s">
        <v>904</v>
      </c>
      <c r="BC9" s="950"/>
      <c r="BD9" s="909"/>
      <c r="BF9" s="128"/>
    </row>
    <row r="10" spans="1:60" ht="14.25" customHeight="1">
      <c r="A10" s="762" t="s">
        <v>255</v>
      </c>
      <c r="B10" s="773" t="s">
        <v>956</v>
      </c>
      <c r="C10" s="781">
        <v>9.1999999999999985e-002</v>
      </c>
      <c r="D10" s="789">
        <v>8.9999999999999983e-002</v>
      </c>
      <c r="E10" s="789">
        <v>7.9999999999999988e-002</v>
      </c>
      <c r="F10" s="789">
        <v>6.3999999999999987e-002</v>
      </c>
      <c r="G10" s="799">
        <v>0.11700000000000001</v>
      </c>
      <c r="H10" s="799">
        <v>0.127</v>
      </c>
      <c r="I10" s="799">
        <v>0.115</v>
      </c>
      <c r="J10" s="799">
        <v>0.125</v>
      </c>
      <c r="K10" s="799">
        <v>0.105</v>
      </c>
      <c r="L10" s="799">
        <v>8.8999999999999996e-002</v>
      </c>
      <c r="M10" s="805"/>
      <c r="N10" s="815" t="s">
        <v>887</v>
      </c>
      <c r="O10" s="823" t="s">
        <v>366</v>
      </c>
      <c r="P10" s="826"/>
      <c r="Q10" s="128"/>
      <c r="R10" s="128"/>
      <c r="S10" s="826"/>
      <c r="T10" s="830" t="s">
        <v>719</v>
      </c>
      <c r="V10" s="840" t="s">
        <v>893</v>
      </c>
      <c r="W10" s="830" t="s">
        <v>958</v>
      </c>
      <c r="Y10" s="843" t="s">
        <v>340</v>
      </c>
      <c r="Z10" s="849">
        <v>0.2</v>
      </c>
      <c r="AA10" s="856" t="s">
        <v>375</v>
      </c>
      <c r="AB10" s="865" t="s">
        <v>756</v>
      </c>
      <c r="AC10" s="872" t="str">
        <f t="shared" si="0"/>
        <v>東京都江東区</v>
      </c>
      <c r="AD10" s="881">
        <v>11.4</v>
      </c>
      <c r="AE10" s="890">
        <v>11.1</v>
      </c>
      <c r="AF10" s="895">
        <v>10.9</v>
      </c>
      <c r="AG10" s="843" t="s">
        <v>502</v>
      </c>
      <c r="AH10" s="849">
        <v>0.55000000000000004</v>
      </c>
      <c r="AI10" s="826"/>
      <c r="AJ10" s="44"/>
      <c r="AK10" s="44"/>
      <c r="AL10" s="44"/>
      <c r="AM10" s="44"/>
      <c r="AN10" s="44"/>
      <c r="AO10" s="762" t="s">
        <v>502</v>
      </c>
      <c r="AP10" s="914" t="s">
        <v>871</v>
      </c>
      <c r="AQ10" s="917"/>
      <c r="AR10" s="763" t="s">
        <v>502</v>
      </c>
      <c r="AS10" s="764" t="s">
        <v>960</v>
      </c>
      <c r="AT10" s="924" t="s">
        <v>376</v>
      </c>
      <c r="AU10" s="929" t="s">
        <v>301</v>
      </c>
      <c r="AV10" s="932"/>
      <c r="AX10" s="762" t="s">
        <v>502</v>
      </c>
      <c r="AY10" s="919" t="s">
        <v>964</v>
      </c>
      <c r="AZ10" s="823" t="s">
        <v>861</v>
      </c>
      <c r="BA10" s="823" t="s">
        <v>892</v>
      </c>
      <c r="BB10" s="374" t="s">
        <v>904</v>
      </c>
      <c r="BC10" s="950"/>
      <c r="BD10" s="909"/>
      <c r="BF10" s="967" t="s">
        <v>495</v>
      </c>
    </row>
    <row r="11" spans="1:60" ht="14.25" customHeight="1">
      <c r="A11" s="762" t="s">
        <v>502</v>
      </c>
      <c r="B11" s="773" t="s">
        <v>695</v>
      </c>
      <c r="C11" s="781">
        <v>8.5999999999999993e-002</v>
      </c>
      <c r="D11" s="789">
        <v>8.299999999999999e-002</v>
      </c>
      <c r="E11" s="789">
        <v>6.6000000000000003e-002</v>
      </c>
      <c r="F11" s="789">
        <v>5.3000000000000005e-002</v>
      </c>
      <c r="G11" s="799">
        <v>0.10299999999999999</v>
      </c>
      <c r="H11" s="799">
        <v>0.111</v>
      </c>
      <c r="I11" s="799">
        <v>0.1</v>
      </c>
      <c r="J11" s="799">
        <v>0.108</v>
      </c>
      <c r="K11" s="799">
        <v>8.3000000000000004e-002</v>
      </c>
      <c r="L11" s="799">
        <v>7.0000000000000007e-002</v>
      </c>
      <c r="M11" s="805"/>
      <c r="N11" s="815" t="s">
        <v>887</v>
      </c>
      <c r="O11" s="823" t="s">
        <v>366</v>
      </c>
      <c r="P11" s="826"/>
      <c r="Q11" s="128"/>
      <c r="R11" s="128"/>
      <c r="S11" s="826"/>
      <c r="T11" s="830" t="s">
        <v>661</v>
      </c>
      <c r="V11" s="840" t="s">
        <v>893</v>
      </c>
      <c r="W11" s="830" t="s">
        <v>869</v>
      </c>
      <c r="Y11" s="843" t="s">
        <v>340</v>
      </c>
      <c r="Z11" s="849">
        <v>0.2</v>
      </c>
      <c r="AA11" s="856" t="s">
        <v>375</v>
      </c>
      <c r="AB11" s="865" t="s">
        <v>970</v>
      </c>
      <c r="AC11" s="872" t="str">
        <f t="shared" si="0"/>
        <v>東京都品川区</v>
      </c>
      <c r="AD11" s="881">
        <v>11.4</v>
      </c>
      <c r="AE11" s="890">
        <v>11.1</v>
      </c>
      <c r="AF11" s="895">
        <v>10.9</v>
      </c>
      <c r="AG11" s="843" t="s">
        <v>971</v>
      </c>
      <c r="AH11" s="849">
        <v>0.55000000000000004</v>
      </c>
      <c r="AI11" s="826"/>
      <c r="AJ11" s="44"/>
      <c r="AK11" s="44"/>
      <c r="AL11" s="44"/>
      <c r="AM11" s="44"/>
      <c r="AN11" s="44"/>
      <c r="AO11" s="762" t="s">
        <v>971</v>
      </c>
      <c r="AP11" s="914" t="s">
        <v>932</v>
      </c>
      <c r="AQ11" s="917"/>
      <c r="AR11" s="763" t="s">
        <v>971</v>
      </c>
      <c r="AS11" s="764" t="s">
        <v>759</v>
      </c>
      <c r="AT11" s="924" t="s">
        <v>376</v>
      </c>
      <c r="AU11" s="929" t="s">
        <v>301</v>
      </c>
      <c r="AV11" s="932"/>
      <c r="AX11" s="762" t="s">
        <v>971</v>
      </c>
      <c r="AY11" s="919" t="s">
        <v>647</v>
      </c>
      <c r="AZ11" s="823" t="s">
        <v>861</v>
      </c>
      <c r="BA11" s="823" t="s">
        <v>892</v>
      </c>
      <c r="BB11" s="374" t="s">
        <v>904</v>
      </c>
      <c r="BC11" s="950"/>
      <c r="BD11" s="909"/>
      <c r="BF11" s="964" t="s">
        <v>775</v>
      </c>
    </row>
    <row r="12" spans="1:60" ht="14.25" customHeight="1">
      <c r="A12" s="762" t="s">
        <v>971</v>
      </c>
      <c r="B12" s="773" t="s">
        <v>796</v>
      </c>
      <c r="C12" s="781">
        <v>8.5999999999999993e-002</v>
      </c>
      <c r="D12" s="789">
        <v>8.299999999999999e-002</v>
      </c>
      <c r="E12" s="789">
        <v>6.6000000000000003e-002</v>
      </c>
      <c r="F12" s="789">
        <v>5.3000000000000005e-002</v>
      </c>
      <c r="G12" s="799">
        <v>0.10299999999999999</v>
      </c>
      <c r="H12" s="799">
        <v>0.111</v>
      </c>
      <c r="I12" s="799">
        <v>0.1</v>
      </c>
      <c r="J12" s="799">
        <v>0.108</v>
      </c>
      <c r="K12" s="799">
        <v>8.3000000000000004e-002</v>
      </c>
      <c r="L12" s="799">
        <v>7.0000000000000007e-002</v>
      </c>
      <c r="M12" s="805"/>
      <c r="N12" s="815" t="s">
        <v>887</v>
      </c>
      <c r="O12" s="823" t="s">
        <v>937</v>
      </c>
      <c r="P12" s="826"/>
      <c r="Q12" s="826"/>
      <c r="R12" s="826"/>
      <c r="S12" s="826"/>
      <c r="T12" s="830" t="s">
        <v>969</v>
      </c>
      <c r="V12" s="840" t="s">
        <v>893</v>
      </c>
      <c r="W12" s="830" t="s">
        <v>972</v>
      </c>
      <c r="Y12" s="843" t="s">
        <v>340</v>
      </c>
      <c r="Z12" s="849">
        <v>0.2</v>
      </c>
      <c r="AA12" s="856" t="s">
        <v>375</v>
      </c>
      <c r="AB12" s="865" t="s">
        <v>973</v>
      </c>
      <c r="AC12" s="872" t="str">
        <f t="shared" si="0"/>
        <v>東京都目黒区</v>
      </c>
      <c r="AD12" s="881">
        <v>11.4</v>
      </c>
      <c r="AE12" s="890">
        <v>11.1</v>
      </c>
      <c r="AF12" s="895">
        <v>10.9</v>
      </c>
      <c r="AG12" s="843" t="s">
        <v>974</v>
      </c>
      <c r="AH12" s="849">
        <v>0.45</v>
      </c>
      <c r="AI12" s="826"/>
      <c r="AJ12" s="44"/>
      <c r="AK12" s="44"/>
      <c r="AL12" s="44"/>
      <c r="AM12" s="44"/>
      <c r="AN12" s="44"/>
      <c r="AO12" s="762" t="s">
        <v>921</v>
      </c>
      <c r="AP12" s="914" t="s">
        <v>871</v>
      </c>
      <c r="AQ12" s="917"/>
      <c r="AR12" s="763" t="s">
        <v>921</v>
      </c>
      <c r="AS12" s="764" t="s">
        <v>962</v>
      </c>
      <c r="AT12" s="924" t="s">
        <v>376</v>
      </c>
      <c r="AU12" s="929" t="s">
        <v>301</v>
      </c>
      <c r="AV12" s="812" t="s">
        <v>979</v>
      </c>
      <c r="AX12" s="762" t="s">
        <v>921</v>
      </c>
      <c r="AY12" s="919" t="s">
        <v>888</v>
      </c>
      <c r="AZ12" s="823" t="s">
        <v>983</v>
      </c>
      <c r="BA12" s="823" t="s">
        <v>835</v>
      </c>
      <c r="BB12" s="374" t="s">
        <v>904</v>
      </c>
      <c r="BC12" s="950"/>
      <c r="BD12" s="909"/>
      <c r="BF12" s="968" t="s">
        <v>553</v>
      </c>
    </row>
    <row r="13" spans="1:60" ht="14.25" customHeight="1">
      <c r="A13" s="762" t="s">
        <v>921</v>
      </c>
      <c r="B13" s="773" t="s">
        <v>868</v>
      </c>
      <c r="C13" s="781">
        <v>0.128</v>
      </c>
      <c r="D13" s="789">
        <v>0.122</v>
      </c>
      <c r="E13" s="789">
        <v>0.11</v>
      </c>
      <c r="F13" s="789">
        <v>8.7999999999999995e-002</v>
      </c>
      <c r="G13" s="799">
        <v>0.14799999999999999</v>
      </c>
      <c r="H13" s="799">
        <v>0.159</v>
      </c>
      <c r="I13" s="799">
        <v>0.14199999999999999</v>
      </c>
      <c r="J13" s="799">
        <v>0.153</v>
      </c>
      <c r="K13" s="799">
        <v>0.13</v>
      </c>
      <c r="L13" s="799">
        <v>0.108</v>
      </c>
      <c r="M13" s="805"/>
      <c r="N13" s="815" t="s">
        <v>887</v>
      </c>
      <c r="O13" s="823" t="s">
        <v>366</v>
      </c>
      <c r="P13" s="826"/>
      <c r="Q13" s="826"/>
      <c r="R13" s="826"/>
      <c r="S13" s="826"/>
      <c r="T13" s="830" t="s">
        <v>986</v>
      </c>
      <c r="V13" s="840" t="s">
        <v>893</v>
      </c>
      <c r="W13" s="830" t="s">
        <v>533</v>
      </c>
      <c r="Y13" s="843" t="s">
        <v>340</v>
      </c>
      <c r="Z13" s="849">
        <v>0.2</v>
      </c>
      <c r="AA13" s="856" t="s">
        <v>375</v>
      </c>
      <c r="AB13" s="865" t="s">
        <v>322</v>
      </c>
      <c r="AC13" s="872" t="str">
        <f t="shared" si="0"/>
        <v>東京都大田区</v>
      </c>
      <c r="AD13" s="881">
        <v>11.4</v>
      </c>
      <c r="AE13" s="890">
        <v>11.1</v>
      </c>
      <c r="AF13" s="895">
        <v>10.9</v>
      </c>
      <c r="AG13" s="843" t="s">
        <v>921</v>
      </c>
      <c r="AH13" s="849">
        <v>0.45</v>
      </c>
      <c r="AI13" s="826"/>
      <c r="AJ13" s="44"/>
      <c r="AK13" s="44"/>
      <c r="AL13" s="44"/>
      <c r="AM13" s="44"/>
      <c r="AN13" s="44"/>
      <c r="AO13" s="762" t="s">
        <v>987</v>
      </c>
      <c r="AP13" s="914" t="s">
        <v>932</v>
      </c>
      <c r="AQ13" s="917"/>
      <c r="AR13" s="763" t="s">
        <v>987</v>
      </c>
      <c r="AS13" s="764" t="s">
        <v>833</v>
      </c>
      <c r="AT13" s="924" t="s">
        <v>376</v>
      </c>
      <c r="AU13" s="929" t="s">
        <v>301</v>
      </c>
      <c r="AV13" s="812"/>
      <c r="AX13" s="762" t="s">
        <v>337</v>
      </c>
      <c r="AY13" s="919" t="s">
        <v>990</v>
      </c>
      <c r="AZ13" s="823" t="s">
        <v>983</v>
      </c>
      <c r="BA13" s="823" t="s">
        <v>835</v>
      </c>
      <c r="BB13" s="374" t="s">
        <v>904</v>
      </c>
      <c r="BC13" s="950"/>
      <c r="BD13" s="909"/>
      <c r="BF13" s="968" t="s">
        <v>934</v>
      </c>
    </row>
    <row r="14" spans="1:60" ht="14.25" customHeight="1">
      <c r="A14" s="762" t="s">
        <v>337</v>
      </c>
      <c r="B14" s="773" t="s">
        <v>316</v>
      </c>
      <c r="C14" s="781">
        <v>0.128</v>
      </c>
      <c r="D14" s="789">
        <v>0.122</v>
      </c>
      <c r="E14" s="789">
        <v>0.11</v>
      </c>
      <c r="F14" s="789">
        <v>8.7999999999999995e-002</v>
      </c>
      <c r="G14" s="799">
        <v>0.14799999999999999</v>
      </c>
      <c r="H14" s="799">
        <v>0.159</v>
      </c>
      <c r="I14" s="799">
        <v>0.14199999999999999</v>
      </c>
      <c r="J14" s="799">
        <v>0.153</v>
      </c>
      <c r="K14" s="799">
        <v>0.13</v>
      </c>
      <c r="L14" s="799">
        <v>0.108</v>
      </c>
      <c r="M14" s="805"/>
      <c r="N14" s="815" t="s">
        <v>887</v>
      </c>
      <c r="O14" s="823" t="s">
        <v>403</v>
      </c>
      <c r="P14" s="826"/>
      <c r="Q14" s="826"/>
      <c r="R14" s="826"/>
      <c r="S14" s="826"/>
      <c r="T14" s="830" t="s">
        <v>96</v>
      </c>
      <c r="V14" s="840" t="s">
        <v>893</v>
      </c>
      <c r="W14" s="830" t="s">
        <v>991</v>
      </c>
      <c r="Y14" s="843" t="s">
        <v>340</v>
      </c>
      <c r="Z14" s="849">
        <v>0.2</v>
      </c>
      <c r="AA14" s="856" t="s">
        <v>375</v>
      </c>
      <c r="AB14" s="865" t="s">
        <v>996</v>
      </c>
      <c r="AC14" s="872" t="str">
        <f t="shared" si="0"/>
        <v>東京都世田谷区</v>
      </c>
      <c r="AD14" s="881">
        <v>11.4</v>
      </c>
      <c r="AE14" s="890">
        <v>11.1</v>
      </c>
      <c r="AF14" s="895">
        <v>10.9</v>
      </c>
      <c r="AG14" s="843" t="s">
        <v>997</v>
      </c>
      <c r="AH14" s="849">
        <v>0.45</v>
      </c>
      <c r="AI14" s="826"/>
      <c r="AJ14" s="44"/>
      <c r="AK14" s="44"/>
      <c r="AL14" s="44"/>
      <c r="AM14" s="44"/>
      <c r="AN14" s="44"/>
      <c r="AO14" s="762" t="s">
        <v>997</v>
      </c>
      <c r="AP14" s="914" t="s">
        <v>932</v>
      </c>
      <c r="AQ14" s="917"/>
      <c r="AR14" s="763" t="s">
        <v>997</v>
      </c>
      <c r="AS14" s="764" t="s">
        <v>805</v>
      </c>
      <c r="AT14" s="924" t="s">
        <v>376</v>
      </c>
      <c r="AU14" s="929" t="s">
        <v>301</v>
      </c>
      <c r="AV14" s="812" t="s">
        <v>979</v>
      </c>
      <c r="AX14" s="762" t="s">
        <v>997</v>
      </c>
      <c r="AY14" s="919" t="s">
        <v>659</v>
      </c>
      <c r="AZ14" s="823" t="s">
        <v>983</v>
      </c>
      <c r="BA14" s="823" t="s">
        <v>835</v>
      </c>
      <c r="BB14" s="374" t="s">
        <v>904</v>
      </c>
      <c r="BC14" s="950"/>
      <c r="BD14" s="909"/>
      <c r="BF14" s="965"/>
    </row>
    <row r="15" spans="1:60" ht="14.25" customHeight="1">
      <c r="A15" s="762" t="s">
        <v>997</v>
      </c>
      <c r="B15" s="773" t="s">
        <v>803</v>
      </c>
      <c r="C15" s="781">
        <v>0.128</v>
      </c>
      <c r="D15" s="789">
        <v>0.122</v>
      </c>
      <c r="E15" s="789">
        <v>0.11</v>
      </c>
      <c r="F15" s="789">
        <v>8.7999999999999995e-002</v>
      </c>
      <c r="G15" s="799">
        <v>0.14799999999999999</v>
      </c>
      <c r="H15" s="799">
        <v>0.159</v>
      </c>
      <c r="I15" s="799">
        <v>0.14199999999999999</v>
      </c>
      <c r="J15" s="799">
        <v>0.153</v>
      </c>
      <c r="K15" s="799">
        <v>0.13</v>
      </c>
      <c r="L15" s="799">
        <v>0.108</v>
      </c>
      <c r="M15" s="805"/>
      <c r="N15" s="815" t="s">
        <v>887</v>
      </c>
      <c r="O15" s="823" t="s">
        <v>937</v>
      </c>
      <c r="P15" s="826"/>
      <c r="Q15" s="826"/>
      <c r="R15" s="826"/>
      <c r="S15" s="826"/>
      <c r="T15" s="830" t="s">
        <v>385</v>
      </c>
      <c r="V15" s="840" t="s">
        <v>893</v>
      </c>
      <c r="W15" s="830" t="s">
        <v>998</v>
      </c>
      <c r="Y15" s="843" t="s">
        <v>340</v>
      </c>
      <c r="Z15" s="849">
        <v>0.2</v>
      </c>
      <c r="AA15" s="856" t="s">
        <v>375</v>
      </c>
      <c r="AB15" s="865" t="s">
        <v>452</v>
      </c>
      <c r="AC15" s="872" t="str">
        <f t="shared" si="0"/>
        <v>東京都渋谷区</v>
      </c>
      <c r="AD15" s="881">
        <v>11.4</v>
      </c>
      <c r="AE15" s="890">
        <v>11.1</v>
      </c>
      <c r="AF15" s="895">
        <v>10.9</v>
      </c>
      <c r="AG15" s="843" t="s">
        <v>349</v>
      </c>
      <c r="AH15" s="849">
        <v>0.45</v>
      </c>
      <c r="AI15" s="826"/>
      <c r="AJ15" s="44"/>
      <c r="AK15" s="44"/>
      <c r="AL15" s="44"/>
      <c r="AM15" s="44"/>
      <c r="AN15" s="44"/>
      <c r="AO15" s="762" t="s">
        <v>349</v>
      </c>
      <c r="AP15" s="914" t="s">
        <v>871</v>
      </c>
      <c r="AQ15" s="917"/>
      <c r="AR15" s="762" t="s">
        <v>349</v>
      </c>
      <c r="AS15" s="764" t="s">
        <v>2011</v>
      </c>
      <c r="AT15" s="924" t="s">
        <v>376</v>
      </c>
      <c r="AU15" s="929" t="s">
        <v>301</v>
      </c>
      <c r="AV15" s="812" t="s">
        <v>979</v>
      </c>
      <c r="AX15" s="762" t="s">
        <v>349</v>
      </c>
      <c r="AY15" s="919" t="s">
        <v>256</v>
      </c>
      <c r="AZ15" s="823" t="s">
        <v>983</v>
      </c>
      <c r="BA15" s="823" t="s">
        <v>1000</v>
      </c>
      <c r="BB15" s="374" t="s">
        <v>904</v>
      </c>
      <c r="BC15" s="950"/>
      <c r="BD15" s="909"/>
      <c r="BF15" s="969" t="s">
        <v>1002</v>
      </c>
    </row>
    <row r="16" spans="1:60" ht="14.25" customHeight="1">
      <c r="A16" s="762" t="s">
        <v>349</v>
      </c>
      <c r="B16" s="773" t="s">
        <v>1005</v>
      </c>
      <c r="C16" s="781">
        <v>0.128</v>
      </c>
      <c r="D16" s="789">
        <v>0.122</v>
      </c>
      <c r="E16" s="789">
        <v>0.11</v>
      </c>
      <c r="F16" s="789">
        <v>8.7999999999999995e-002</v>
      </c>
      <c r="G16" s="799">
        <v>0.14799999999999999</v>
      </c>
      <c r="H16" s="799">
        <v>0.159</v>
      </c>
      <c r="I16" s="799">
        <v>0.14199999999999999</v>
      </c>
      <c r="J16" s="799">
        <v>0.153</v>
      </c>
      <c r="K16" s="799">
        <v>0.13</v>
      </c>
      <c r="L16" s="799">
        <v>0.108</v>
      </c>
      <c r="M16" s="805"/>
      <c r="N16" s="815" t="s">
        <v>887</v>
      </c>
      <c r="O16" s="823" t="s">
        <v>366</v>
      </c>
      <c r="P16" s="826"/>
      <c r="Q16" s="826"/>
      <c r="R16" s="826"/>
      <c r="S16" s="826"/>
      <c r="T16" s="830" t="s">
        <v>1007</v>
      </c>
      <c r="V16" s="840" t="s">
        <v>893</v>
      </c>
      <c r="W16" s="830" t="s">
        <v>1011</v>
      </c>
      <c r="Y16" s="843" t="s">
        <v>340</v>
      </c>
      <c r="Z16" s="849">
        <v>0.2</v>
      </c>
      <c r="AA16" s="856" t="s">
        <v>375</v>
      </c>
      <c r="AB16" s="865" t="s">
        <v>71</v>
      </c>
      <c r="AC16" s="872" t="str">
        <f t="shared" si="0"/>
        <v>東京都中野区</v>
      </c>
      <c r="AD16" s="881">
        <v>11.4</v>
      </c>
      <c r="AE16" s="890">
        <v>11.1</v>
      </c>
      <c r="AF16" s="895">
        <v>10.9</v>
      </c>
      <c r="AG16" s="843" t="s">
        <v>348</v>
      </c>
      <c r="AH16" s="849">
        <v>0.45</v>
      </c>
      <c r="AI16" s="826"/>
      <c r="AJ16" s="44"/>
      <c r="AK16" s="44"/>
      <c r="AL16" s="44"/>
      <c r="AM16" s="44"/>
      <c r="AN16" s="44"/>
      <c r="AO16" s="762" t="s">
        <v>348</v>
      </c>
      <c r="AP16" s="914" t="s">
        <v>932</v>
      </c>
      <c r="AQ16" s="917"/>
      <c r="AR16" s="763" t="s">
        <v>348</v>
      </c>
      <c r="AS16" s="764" t="s">
        <v>2194</v>
      </c>
      <c r="AT16" s="924" t="s">
        <v>376</v>
      </c>
      <c r="AU16" s="929" t="s">
        <v>301</v>
      </c>
      <c r="AV16" s="812"/>
      <c r="AX16" s="762" t="s">
        <v>1013</v>
      </c>
      <c r="AY16" s="919" t="s">
        <v>850</v>
      </c>
      <c r="AZ16" s="823" t="s">
        <v>983</v>
      </c>
      <c r="BA16" s="823" t="s">
        <v>1000</v>
      </c>
      <c r="BB16" s="374" t="s">
        <v>904</v>
      </c>
      <c r="BC16" s="950"/>
      <c r="BD16" s="909"/>
      <c r="BF16" s="830" t="s">
        <v>775</v>
      </c>
    </row>
    <row r="17" spans="1:58" ht="14.25" customHeight="1">
      <c r="A17" s="762" t="s">
        <v>1013</v>
      </c>
      <c r="B17" s="773" t="s">
        <v>58</v>
      </c>
      <c r="C17" s="781">
        <v>0.128</v>
      </c>
      <c r="D17" s="789">
        <v>0.122</v>
      </c>
      <c r="E17" s="789">
        <v>0.11</v>
      </c>
      <c r="F17" s="789">
        <v>8.7999999999999995e-002</v>
      </c>
      <c r="G17" s="799">
        <v>0.14799999999999999</v>
      </c>
      <c r="H17" s="799">
        <v>0.159</v>
      </c>
      <c r="I17" s="799">
        <v>0.14199999999999999</v>
      </c>
      <c r="J17" s="799">
        <v>0.153</v>
      </c>
      <c r="K17" s="799">
        <v>0.13</v>
      </c>
      <c r="L17" s="799">
        <v>0.108</v>
      </c>
      <c r="M17" s="805"/>
      <c r="N17" s="815" t="s">
        <v>887</v>
      </c>
      <c r="O17" s="823" t="s">
        <v>403</v>
      </c>
      <c r="P17" s="826"/>
      <c r="Q17" s="826"/>
      <c r="R17" s="826"/>
      <c r="S17" s="826"/>
      <c r="T17" s="830" t="s">
        <v>602</v>
      </c>
      <c r="V17" s="840" t="s">
        <v>893</v>
      </c>
      <c r="W17" s="830" t="s">
        <v>1015</v>
      </c>
      <c r="Y17" s="843" t="s">
        <v>340</v>
      </c>
      <c r="Z17" s="849">
        <v>0.2</v>
      </c>
      <c r="AA17" s="856" t="s">
        <v>375</v>
      </c>
      <c r="AB17" s="865" t="s">
        <v>1019</v>
      </c>
      <c r="AC17" s="872" t="str">
        <f t="shared" si="0"/>
        <v>東京都杉並区</v>
      </c>
      <c r="AD17" s="881">
        <v>11.4</v>
      </c>
      <c r="AE17" s="890">
        <v>11.1</v>
      </c>
      <c r="AF17" s="895">
        <v>10.9</v>
      </c>
      <c r="AG17" s="843" t="s">
        <v>540</v>
      </c>
      <c r="AH17" s="849">
        <v>0.55000000000000004</v>
      </c>
      <c r="AI17" s="826"/>
      <c r="AJ17" s="44"/>
      <c r="AK17" s="44"/>
      <c r="AL17" s="44"/>
      <c r="AM17" s="44"/>
      <c r="AN17" s="44"/>
      <c r="AO17" s="762" t="s">
        <v>540</v>
      </c>
      <c r="AP17" s="914" t="s">
        <v>871</v>
      </c>
      <c r="AQ17" s="917"/>
      <c r="AR17" s="763" t="s">
        <v>540</v>
      </c>
      <c r="AS17" s="764" t="s">
        <v>819</v>
      </c>
      <c r="AT17" s="924" t="s">
        <v>376</v>
      </c>
      <c r="AU17" s="929" t="s">
        <v>301</v>
      </c>
      <c r="AV17" s="932"/>
      <c r="AX17" s="762" t="s">
        <v>540</v>
      </c>
      <c r="AY17" s="919" t="s">
        <v>1023</v>
      </c>
      <c r="AZ17" s="823" t="s">
        <v>861</v>
      </c>
      <c r="BA17" s="823" t="s">
        <v>892</v>
      </c>
      <c r="BB17" s="374" t="s">
        <v>904</v>
      </c>
      <c r="BC17" s="950"/>
      <c r="BD17" s="909"/>
      <c r="BF17" s="966" t="s">
        <v>553</v>
      </c>
    </row>
    <row r="18" spans="1:58" ht="14.25" customHeight="1">
      <c r="A18" s="762" t="s">
        <v>540</v>
      </c>
      <c r="B18" s="773" t="s">
        <v>119</v>
      </c>
      <c r="C18" s="781">
        <v>0.18099999999999999</v>
      </c>
      <c r="D18" s="789">
        <v>0.17399999999999999</v>
      </c>
      <c r="E18" s="789">
        <v>0.15</v>
      </c>
      <c r="F18" s="789">
        <v>0.122</v>
      </c>
      <c r="G18" s="799">
        <v>0.216</v>
      </c>
      <c r="H18" s="799">
        <v>0.23599999999999999</v>
      </c>
      <c r="I18" s="799">
        <v>0.20899999999999999</v>
      </c>
      <c r="J18" s="799">
        <v>0.22900000000000001</v>
      </c>
      <c r="K18" s="799">
        <v>0.185</v>
      </c>
      <c r="L18" s="799">
        <v>0.157</v>
      </c>
      <c r="M18" s="805"/>
      <c r="N18" s="815" t="s">
        <v>887</v>
      </c>
      <c r="O18" s="823" t="s">
        <v>366</v>
      </c>
      <c r="P18" s="826"/>
      <c r="Q18" s="826"/>
      <c r="R18" s="826"/>
      <c r="S18" s="826"/>
      <c r="T18" s="830" t="s">
        <v>1025</v>
      </c>
      <c r="V18" s="840" t="s">
        <v>893</v>
      </c>
      <c r="W18" s="830" t="s">
        <v>438</v>
      </c>
      <c r="Y18" s="843" t="s">
        <v>340</v>
      </c>
      <c r="Z18" s="849">
        <v>0.2</v>
      </c>
      <c r="AA18" s="856" t="s">
        <v>375</v>
      </c>
      <c r="AB18" s="865" t="s">
        <v>831</v>
      </c>
      <c r="AC18" s="872" t="str">
        <f t="shared" si="0"/>
        <v>東京都豊島区</v>
      </c>
      <c r="AD18" s="881">
        <v>11.4</v>
      </c>
      <c r="AE18" s="890">
        <v>11.1</v>
      </c>
      <c r="AF18" s="895">
        <v>10.9</v>
      </c>
      <c r="AG18" s="843" t="s">
        <v>365</v>
      </c>
      <c r="AH18" s="849">
        <v>0.55000000000000004</v>
      </c>
      <c r="AI18" s="826"/>
      <c r="AJ18" s="44"/>
      <c r="AK18" s="44"/>
      <c r="AL18" s="44"/>
      <c r="AM18" s="44"/>
      <c r="AN18" s="44"/>
      <c r="AO18" s="762" t="s">
        <v>365</v>
      </c>
      <c r="AP18" s="914" t="s">
        <v>932</v>
      </c>
      <c r="AQ18" s="917"/>
      <c r="AR18" s="763" t="s">
        <v>365</v>
      </c>
      <c r="AS18" s="764" t="s">
        <v>181</v>
      </c>
      <c r="AT18" s="924" t="s">
        <v>376</v>
      </c>
      <c r="AU18" s="929" t="s">
        <v>301</v>
      </c>
      <c r="AV18" s="932"/>
      <c r="AX18" s="762" t="s">
        <v>365</v>
      </c>
      <c r="AY18" s="919" t="s">
        <v>1028</v>
      </c>
      <c r="AZ18" s="823" t="s">
        <v>861</v>
      </c>
      <c r="BA18" s="823" t="s">
        <v>892</v>
      </c>
      <c r="BB18" s="374" t="s">
        <v>904</v>
      </c>
      <c r="BC18" s="950"/>
      <c r="BD18" s="909"/>
      <c r="BF18" s="966" t="s">
        <v>934</v>
      </c>
    </row>
    <row r="19" spans="1:58" ht="14.25" customHeight="1">
      <c r="A19" s="762" t="s">
        <v>365</v>
      </c>
      <c r="B19" s="773" t="s">
        <v>227</v>
      </c>
      <c r="C19" s="781">
        <v>0.18099999999999999</v>
      </c>
      <c r="D19" s="789">
        <v>0.17399999999999999</v>
      </c>
      <c r="E19" s="789">
        <v>0.15</v>
      </c>
      <c r="F19" s="789">
        <v>0.122</v>
      </c>
      <c r="G19" s="799">
        <v>0.216</v>
      </c>
      <c r="H19" s="799">
        <v>0.23599999999999999</v>
      </c>
      <c r="I19" s="799">
        <v>0.20899999999999999</v>
      </c>
      <c r="J19" s="799">
        <v>0.22900000000000001</v>
      </c>
      <c r="K19" s="799">
        <v>0.185</v>
      </c>
      <c r="L19" s="799">
        <v>0.157</v>
      </c>
      <c r="M19" s="805"/>
      <c r="N19" s="815" t="s">
        <v>887</v>
      </c>
      <c r="O19" s="823" t="s">
        <v>937</v>
      </c>
      <c r="P19" s="826"/>
      <c r="Q19" s="826"/>
      <c r="R19" s="826"/>
      <c r="S19" s="826"/>
      <c r="T19" s="830" t="s">
        <v>1031</v>
      </c>
      <c r="V19" s="840" t="s">
        <v>893</v>
      </c>
      <c r="W19" s="830" t="s">
        <v>1032</v>
      </c>
      <c r="Y19" s="843" t="s">
        <v>340</v>
      </c>
      <c r="Z19" s="849">
        <v>0.2</v>
      </c>
      <c r="AA19" s="856" t="s">
        <v>375</v>
      </c>
      <c r="AB19" s="865" t="s">
        <v>144</v>
      </c>
      <c r="AC19" s="872" t="str">
        <f t="shared" si="0"/>
        <v>東京都北区</v>
      </c>
      <c r="AD19" s="881">
        <v>11.4</v>
      </c>
      <c r="AE19" s="890">
        <v>11.1</v>
      </c>
      <c r="AF19" s="895">
        <v>10.9</v>
      </c>
      <c r="AG19" s="843" t="s">
        <v>1033</v>
      </c>
      <c r="AH19" s="849">
        <v>0.55000000000000004</v>
      </c>
      <c r="AI19" s="826"/>
      <c r="AJ19" s="44"/>
      <c r="AK19" s="44"/>
      <c r="AL19" s="44"/>
      <c r="AM19" s="44"/>
      <c r="AN19" s="44"/>
      <c r="AO19" s="762" t="s">
        <v>1033</v>
      </c>
      <c r="AP19" s="914" t="s">
        <v>871</v>
      </c>
      <c r="AQ19" s="917"/>
      <c r="AR19" s="763" t="s">
        <v>1033</v>
      </c>
      <c r="AS19" s="764" t="s">
        <v>711</v>
      </c>
      <c r="AT19" s="924" t="s">
        <v>376</v>
      </c>
      <c r="AU19" s="929" t="s">
        <v>301</v>
      </c>
      <c r="AV19" s="932"/>
      <c r="AX19" s="762" t="s">
        <v>1033</v>
      </c>
      <c r="AY19" s="919" t="s">
        <v>1037</v>
      </c>
      <c r="AZ19" s="823" t="s">
        <v>983</v>
      </c>
      <c r="BA19" s="823" t="s">
        <v>1000</v>
      </c>
      <c r="BB19" s="815" t="s">
        <v>861</v>
      </c>
      <c r="BC19" s="950" t="s">
        <v>892</v>
      </c>
      <c r="BD19" s="955" t="s">
        <v>904</v>
      </c>
      <c r="BF19" s="832" t="s">
        <v>511</v>
      </c>
    </row>
    <row r="20" spans="1:58" ht="14.25" customHeight="1">
      <c r="A20" s="762" t="s">
        <v>1033</v>
      </c>
      <c r="B20" s="773" t="s">
        <v>1038</v>
      </c>
      <c r="C20" s="781">
        <v>0.14900000000000002</v>
      </c>
      <c r="D20" s="789">
        <v>0.14600000000000002</v>
      </c>
      <c r="E20" s="789">
        <v>0.13400000000000001</v>
      </c>
      <c r="F20" s="789">
        <v>0.106</v>
      </c>
      <c r="G20" s="799">
        <v>0.17100000000000001</v>
      </c>
      <c r="H20" s="799">
        <v>0.186</v>
      </c>
      <c r="I20" s="799">
        <v>0.16800000000000001</v>
      </c>
      <c r="J20" s="799">
        <v>0.183</v>
      </c>
      <c r="K20" s="799">
        <v>0.156</v>
      </c>
      <c r="L20" s="799">
        <v>0.128</v>
      </c>
      <c r="M20" s="805"/>
      <c r="N20" s="815" t="s">
        <v>887</v>
      </c>
      <c r="O20" s="823" t="s">
        <v>366</v>
      </c>
      <c r="P20" s="826"/>
      <c r="Q20" s="826"/>
      <c r="R20" s="826"/>
      <c r="S20" s="826"/>
      <c r="T20" s="830" t="s">
        <v>679</v>
      </c>
      <c r="V20" s="840" t="s">
        <v>893</v>
      </c>
      <c r="W20" s="830" t="s">
        <v>1041</v>
      </c>
      <c r="Y20" s="843" t="s">
        <v>340</v>
      </c>
      <c r="Z20" s="849">
        <v>0.2</v>
      </c>
      <c r="AA20" s="856" t="s">
        <v>375</v>
      </c>
      <c r="AB20" s="865" t="s">
        <v>1043</v>
      </c>
      <c r="AC20" s="872" t="str">
        <f t="shared" si="0"/>
        <v>東京都荒川区</v>
      </c>
      <c r="AD20" s="881">
        <v>11.4</v>
      </c>
      <c r="AE20" s="890">
        <v>11.1</v>
      </c>
      <c r="AF20" s="895">
        <v>10.9</v>
      </c>
      <c r="AG20" s="843" t="s">
        <v>963</v>
      </c>
      <c r="AH20" s="849">
        <v>0.55000000000000004</v>
      </c>
      <c r="AI20" s="826"/>
      <c r="AJ20" s="44"/>
      <c r="AK20" s="44"/>
      <c r="AL20" s="44"/>
      <c r="AM20" s="44"/>
      <c r="AN20" s="44"/>
      <c r="AO20" s="762" t="s">
        <v>963</v>
      </c>
      <c r="AP20" s="914" t="s">
        <v>932</v>
      </c>
      <c r="AQ20" s="917"/>
      <c r="AR20" s="763" t="s">
        <v>963</v>
      </c>
      <c r="AS20" s="764" t="s">
        <v>1044</v>
      </c>
      <c r="AT20" s="924" t="s">
        <v>376</v>
      </c>
      <c r="AU20" s="929" t="s">
        <v>301</v>
      </c>
      <c r="AV20" s="932"/>
      <c r="AX20" s="762" t="s">
        <v>476</v>
      </c>
      <c r="AY20" s="919" t="s">
        <v>1046</v>
      </c>
      <c r="AZ20" s="823" t="s">
        <v>983</v>
      </c>
      <c r="BA20" s="823" t="s">
        <v>1000</v>
      </c>
      <c r="BB20" s="815" t="s">
        <v>861</v>
      </c>
      <c r="BC20" s="950" t="s">
        <v>892</v>
      </c>
      <c r="BD20" s="956" t="s">
        <v>904</v>
      </c>
    </row>
    <row r="21" spans="1:58" ht="14.25" customHeight="1">
      <c r="A21" s="762" t="s">
        <v>476</v>
      </c>
      <c r="B21" s="773" t="s">
        <v>1047</v>
      </c>
      <c r="C21" s="781">
        <v>0.14900000000000002</v>
      </c>
      <c r="D21" s="789">
        <v>0.14600000000000002</v>
      </c>
      <c r="E21" s="789">
        <v>0.13400000000000001</v>
      </c>
      <c r="F21" s="789">
        <v>0.106</v>
      </c>
      <c r="G21" s="799">
        <v>0.17100000000000001</v>
      </c>
      <c r="H21" s="799">
        <v>0.186</v>
      </c>
      <c r="I21" s="799">
        <v>0.16800000000000001</v>
      </c>
      <c r="J21" s="799">
        <v>0.183</v>
      </c>
      <c r="K21" s="799">
        <v>0.156</v>
      </c>
      <c r="L21" s="799">
        <v>0.128</v>
      </c>
      <c r="M21" s="805"/>
      <c r="N21" s="815" t="s">
        <v>887</v>
      </c>
      <c r="O21" s="823" t="s">
        <v>1049</v>
      </c>
      <c r="P21" s="826"/>
      <c r="Q21" s="826"/>
      <c r="R21" s="826"/>
      <c r="S21" s="826"/>
      <c r="T21" s="830" t="s">
        <v>1051</v>
      </c>
      <c r="V21" s="840" t="s">
        <v>893</v>
      </c>
      <c r="W21" s="830" t="s">
        <v>1052</v>
      </c>
      <c r="Y21" s="843" t="s">
        <v>340</v>
      </c>
      <c r="Z21" s="849">
        <v>0.2</v>
      </c>
      <c r="AA21" s="856" t="s">
        <v>375</v>
      </c>
      <c r="AB21" s="865" t="s">
        <v>1053</v>
      </c>
      <c r="AC21" s="872" t="str">
        <f t="shared" si="0"/>
        <v>東京都板橋区</v>
      </c>
      <c r="AD21" s="881">
        <v>11.4</v>
      </c>
      <c r="AE21" s="890">
        <v>11.1</v>
      </c>
      <c r="AF21" s="895">
        <v>10.9</v>
      </c>
      <c r="AG21" s="843" t="s">
        <v>788</v>
      </c>
      <c r="AH21" s="849">
        <v>0.55000000000000004</v>
      </c>
      <c r="AI21" s="826"/>
      <c r="AJ21" s="44"/>
      <c r="AK21" s="44"/>
      <c r="AL21" s="44"/>
      <c r="AM21" s="44"/>
      <c r="AN21" s="44"/>
      <c r="AO21" s="762" t="s">
        <v>788</v>
      </c>
      <c r="AP21" s="914" t="s">
        <v>932</v>
      </c>
      <c r="AQ21" s="917"/>
      <c r="AR21" s="763" t="s">
        <v>788</v>
      </c>
      <c r="AS21" s="764" t="s">
        <v>521</v>
      </c>
      <c r="AT21" s="924" t="s">
        <v>376</v>
      </c>
      <c r="AU21" s="929" t="s">
        <v>301</v>
      </c>
      <c r="AV21" s="932"/>
      <c r="AX21" s="762" t="s">
        <v>788</v>
      </c>
      <c r="AY21" s="919" t="s">
        <v>1055</v>
      </c>
      <c r="AZ21" s="823" t="s">
        <v>983</v>
      </c>
      <c r="BA21" s="823" t="s">
        <v>1000</v>
      </c>
      <c r="BB21" s="815" t="s">
        <v>861</v>
      </c>
      <c r="BC21" s="950" t="s">
        <v>892</v>
      </c>
      <c r="BD21" s="956" t="s">
        <v>904</v>
      </c>
      <c r="BF21" s="970" t="s">
        <v>306</v>
      </c>
    </row>
    <row r="22" spans="1:58" ht="14.25" customHeight="1">
      <c r="A22" s="762" t="s">
        <v>788</v>
      </c>
      <c r="B22" s="773" t="s">
        <v>1056</v>
      </c>
      <c r="C22" s="781">
        <v>0.14900000000000002</v>
      </c>
      <c r="D22" s="789">
        <v>0.14600000000000002</v>
      </c>
      <c r="E22" s="789">
        <v>0.13400000000000001</v>
      </c>
      <c r="F22" s="789">
        <v>0.106</v>
      </c>
      <c r="G22" s="799">
        <v>0.17100000000000001</v>
      </c>
      <c r="H22" s="799">
        <v>0.186</v>
      </c>
      <c r="I22" s="799">
        <v>0.16800000000000001</v>
      </c>
      <c r="J22" s="799">
        <v>0.183</v>
      </c>
      <c r="K22" s="799">
        <v>0.156</v>
      </c>
      <c r="L22" s="799">
        <v>0.128</v>
      </c>
      <c r="M22" s="805"/>
      <c r="N22" s="815" t="s">
        <v>887</v>
      </c>
      <c r="O22" s="823" t="s">
        <v>937</v>
      </c>
      <c r="P22" s="826"/>
      <c r="Q22" s="826"/>
      <c r="R22" s="826"/>
      <c r="S22" s="826"/>
      <c r="T22" s="830" t="s">
        <v>1057</v>
      </c>
      <c r="V22" s="840" t="s">
        <v>893</v>
      </c>
      <c r="W22" s="830" t="s">
        <v>1059</v>
      </c>
      <c r="Y22" s="843" t="s">
        <v>340</v>
      </c>
      <c r="Z22" s="849">
        <v>0.2</v>
      </c>
      <c r="AA22" s="856" t="s">
        <v>375</v>
      </c>
      <c r="AB22" s="865" t="s">
        <v>1062</v>
      </c>
      <c r="AC22" s="872" t="str">
        <f t="shared" si="0"/>
        <v>東京都練馬区</v>
      </c>
      <c r="AD22" s="881">
        <v>11.4</v>
      </c>
      <c r="AE22" s="890">
        <v>11.1</v>
      </c>
      <c r="AF22" s="895">
        <v>10.9</v>
      </c>
      <c r="AG22" s="843" t="s">
        <v>1063</v>
      </c>
      <c r="AH22" s="849">
        <v>0.55000000000000004</v>
      </c>
      <c r="AI22" s="826"/>
      <c r="AJ22" s="44"/>
      <c r="AK22" s="44"/>
      <c r="AL22" s="44"/>
      <c r="AM22" s="44"/>
      <c r="AN22" s="44"/>
      <c r="AO22" s="762" t="s">
        <v>1067</v>
      </c>
      <c r="AP22" s="914" t="s">
        <v>932</v>
      </c>
      <c r="AQ22" s="917"/>
      <c r="AR22" s="763" t="s">
        <v>1067</v>
      </c>
      <c r="AS22" s="764" t="s">
        <v>274</v>
      </c>
      <c r="AT22" s="924" t="s">
        <v>376</v>
      </c>
      <c r="AU22" s="929" t="s">
        <v>301</v>
      </c>
      <c r="AV22" s="932"/>
      <c r="AX22" s="762" t="s">
        <v>1067</v>
      </c>
      <c r="AY22" s="919" t="s">
        <v>1068</v>
      </c>
      <c r="AZ22" s="823" t="s">
        <v>983</v>
      </c>
      <c r="BA22" s="823" t="s">
        <v>1000</v>
      </c>
      <c r="BB22" s="815" t="s">
        <v>861</v>
      </c>
      <c r="BC22" s="950" t="s">
        <v>892</v>
      </c>
      <c r="BD22" s="956" t="s">
        <v>904</v>
      </c>
      <c r="BF22" s="971" t="s">
        <v>553</v>
      </c>
    </row>
    <row r="23" spans="1:58" ht="14.25" customHeight="1">
      <c r="A23" s="762" t="s">
        <v>1067</v>
      </c>
      <c r="B23" s="773" t="s">
        <v>1071</v>
      </c>
      <c r="C23" s="781">
        <v>0.14900000000000002</v>
      </c>
      <c r="D23" s="789">
        <v>0.14600000000000002</v>
      </c>
      <c r="E23" s="789">
        <v>0.13400000000000001</v>
      </c>
      <c r="F23" s="789">
        <v>0.106</v>
      </c>
      <c r="G23" s="799">
        <v>0.17100000000000001</v>
      </c>
      <c r="H23" s="799">
        <v>0.186</v>
      </c>
      <c r="I23" s="799">
        <v>0.16800000000000001</v>
      </c>
      <c r="J23" s="799">
        <v>0.183</v>
      </c>
      <c r="K23" s="799">
        <v>0.156</v>
      </c>
      <c r="L23" s="799">
        <v>0.128</v>
      </c>
      <c r="M23" s="805"/>
      <c r="N23" s="815" t="s">
        <v>887</v>
      </c>
      <c r="O23" s="823" t="s">
        <v>474</v>
      </c>
      <c r="P23" s="826"/>
      <c r="Q23" s="826"/>
      <c r="R23" s="826"/>
      <c r="S23" s="826"/>
      <c r="T23" s="830" t="s">
        <v>180</v>
      </c>
      <c r="V23" s="840" t="s">
        <v>893</v>
      </c>
      <c r="W23" s="830" t="s">
        <v>300</v>
      </c>
      <c r="Y23" s="843" t="s">
        <v>340</v>
      </c>
      <c r="Z23" s="849">
        <v>0.2</v>
      </c>
      <c r="AA23" s="856" t="s">
        <v>375</v>
      </c>
      <c r="AB23" s="865" t="s">
        <v>1074</v>
      </c>
      <c r="AC23" s="872" t="str">
        <f t="shared" si="0"/>
        <v>東京都足立区</v>
      </c>
      <c r="AD23" s="881">
        <v>11.4</v>
      </c>
      <c r="AE23" s="890">
        <v>11.1</v>
      </c>
      <c r="AF23" s="895">
        <v>10.9</v>
      </c>
      <c r="AG23" s="762" t="s">
        <v>795</v>
      </c>
      <c r="AH23" s="849">
        <v>0.55000000000000004</v>
      </c>
      <c r="AI23" s="826"/>
      <c r="AJ23" s="44"/>
      <c r="AK23" s="44"/>
      <c r="AL23" s="44"/>
      <c r="AM23" s="44"/>
      <c r="AN23" s="44"/>
      <c r="AO23" s="762" t="s">
        <v>795</v>
      </c>
      <c r="AP23" s="914" t="s">
        <v>871</v>
      </c>
      <c r="AQ23" s="917"/>
      <c r="AR23" s="762" t="s">
        <v>795</v>
      </c>
      <c r="AS23" s="764" t="s">
        <v>1076</v>
      </c>
      <c r="AT23" s="924" t="s">
        <v>376</v>
      </c>
      <c r="AU23" s="929" t="s">
        <v>301</v>
      </c>
      <c r="AV23" s="932"/>
      <c r="AX23" s="762" t="s">
        <v>795</v>
      </c>
      <c r="AY23" s="919" t="s">
        <v>1077</v>
      </c>
      <c r="AZ23" s="823" t="s">
        <v>983</v>
      </c>
      <c r="BA23" s="823" t="s">
        <v>1000</v>
      </c>
      <c r="BB23" s="815" t="s">
        <v>861</v>
      </c>
      <c r="BC23" s="950" t="s">
        <v>892</v>
      </c>
      <c r="BD23" s="956" t="s">
        <v>904</v>
      </c>
      <c r="BF23" s="966" t="s">
        <v>934</v>
      </c>
    </row>
    <row r="24" spans="1:58" ht="14.25" customHeight="1">
      <c r="A24" s="762" t="s">
        <v>795</v>
      </c>
      <c r="B24" s="773" t="s">
        <v>1080</v>
      </c>
      <c r="C24" s="781">
        <v>0.14900000000000002</v>
      </c>
      <c r="D24" s="789">
        <v>0.14600000000000002</v>
      </c>
      <c r="E24" s="789">
        <v>0.13400000000000001</v>
      </c>
      <c r="F24" s="789">
        <v>0.106</v>
      </c>
      <c r="G24" s="799">
        <v>0.16800000000000001</v>
      </c>
      <c r="H24" s="799">
        <v>0.17699999999999999</v>
      </c>
      <c r="I24" s="799">
        <v>0.16500000000000001</v>
      </c>
      <c r="J24" s="799">
        <v>0.17399999999999999</v>
      </c>
      <c r="K24" s="799">
        <v>0.153</v>
      </c>
      <c r="L24" s="799">
        <v>0.125</v>
      </c>
      <c r="M24" s="805"/>
      <c r="N24" s="815" t="s">
        <v>887</v>
      </c>
      <c r="O24" s="823" t="s">
        <v>366</v>
      </c>
      <c r="P24" s="826"/>
      <c r="Q24" s="826"/>
      <c r="R24" s="826"/>
      <c r="S24" s="826"/>
      <c r="T24" s="830" t="s">
        <v>738</v>
      </c>
      <c r="V24" s="840" t="s">
        <v>893</v>
      </c>
      <c r="W24" s="830" t="s">
        <v>1085</v>
      </c>
      <c r="Y24" s="843" t="s">
        <v>340</v>
      </c>
      <c r="Z24" s="849">
        <v>0.2</v>
      </c>
      <c r="AA24" s="856" t="s">
        <v>375</v>
      </c>
      <c r="AB24" s="865" t="s">
        <v>1086</v>
      </c>
      <c r="AC24" s="872" t="str">
        <f t="shared" si="0"/>
        <v>東京都葛飾区</v>
      </c>
      <c r="AD24" s="881">
        <v>11.4</v>
      </c>
      <c r="AE24" s="890">
        <v>11.1</v>
      </c>
      <c r="AF24" s="895">
        <v>10.9</v>
      </c>
      <c r="AG24" s="762" t="s">
        <v>1087</v>
      </c>
      <c r="AH24" s="849">
        <v>0.55000000000000004</v>
      </c>
      <c r="AI24" s="826"/>
      <c r="AJ24" s="44"/>
      <c r="AK24" s="44"/>
      <c r="AL24" s="44"/>
      <c r="AM24" s="44"/>
      <c r="AN24" s="44"/>
      <c r="AO24" s="762" t="s">
        <v>1087</v>
      </c>
      <c r="AP24" s="914" t="s">
        <v>932</v>
      </c>
      <c r="AQ24" s="917"/>
      <c r="AR24" s="762" t="s">
        <v>1087</v>
      </c>
      <c r="AS24" s="764" t="s">
        <v>1089</v>
      </c>
      <c r="AT24" s="924" t="s">
        <v>376</v>
      </c>
      <c r="AU24" s="929" t="s">
        <v>301</v>
      </c>
      <c r="AV24" s="932"/>
      <c r="AX24" s="762" t="s">
        <v>1087</v>
      </c>
      <c r="AY24" s="919" t="s">
        <v>1091</v>
      </c>
      <c r="AZ24" s="823" t="s">
        <v>983</v>
      </c>
      <c r="BA24" s="823" t="s">
        <v>1000</v>
      </c>
      <c r="BB24" s="815" t="s">
        <v>861</v>
      </c>
      <c r="BC24" s="950" t="s">
        <v>892</v>
      </c>
      <c r="BD24" s="956" t="s">
        <v>904</v>
      </c>
      <c r="BF24" s="966" t="s">
        <v>1092</v>
      </c>
    </row>
    <row r="25" spans="1:58" ht="14.25" customHeight="1">
      <c r="A25" s="762" t="s">
        <v>1087</v>
      </c>
      <c r="B25" s="773" t="s">
        <v>1097</v>
      </c>
      <c r="C25" s="781">
        <v>0.14900000000000002</v>
      </c>
      <c r="D25" s="789">
        <v>0.14600000000000002</v>
      </c>
      <c r="E25" s="789">
        <v>0.13400000000000001</v>
      </c>
      <c r="F25" s="789">
        <v>0.106</v>
      </c>
      <c r="G25" s="799">
        <v>0.16800000000000001</v>
      </c>
      <c r="H25" s="799">
        <v>0.17699999999999999</v>
      </c>
      <c r="I25" s="799">
        <v>0.16500000000000001</v>
      </c>
      <c r="J25" s="799">
        <v>0.17399999999999999</v>
      </c>
      <c r="K25" s="799">
        <v>0.153</v>
      </c>
      <c r="L25" s="799">
        <v>0.125</v>
      </c>
      <c r="M25" s="805"/>
      <c r="N25" s="815" t="s">
        <v>887</v>
      </c>
      <c r="O25" s="823" t="s">
        <v>403</v>
      </c>
      <c r="P25" s="826"/>
      <c r="Q25" s="826"/>
      <c r="R25" s="826"/>
      <c r="S25" s="826"/>
      <c r="T25" s="830" t="s">
        <v>1098</v>
      </c>
      <c r="V25" s="840" t="s">
        <v>893</v>
      </c>
      <c r="W25" s="830" t="s">
        <v>1101</v>
      </c>
      <c r="Y25" s="844" t="s">
        <v>340</v>
      </c>
      <c r="Z25" s="850">
        <v>0.2</v>
      </c>
      <c r="AA25" s="857" t="s">
        <v>375</v>
      </c>
      <c r="AB25" s="866" t="s">
        <v>708</v>
      </c>
      <c r="AC25" s="873" t="str">
        <f t="shared" si="0"/>
        <v>東京都江戸川区</v>
      </c>
      <c r="AD25" s="882">
        <v>11.4</v>
      </c>
      <c r="AE25" s="891">
        <v>11.1</v>
      </c>
      <c r="AF25" s="896">
        <v>10.9</v>
      </c>
      <c r="AG25" s="843" t="s">
        <v>1094</v>
      </c>
      <c r="AH25" s="849">
        <v>0.45</v>
      </c>
      <c r="AI25" s="826"/>
      <c r="AJ25" s="44"/>
      <c r="AK25" s="44"/>
      <c r="AL25" s="44"/>
      <c r="AM25" s="44"/>
      <c r="AN25" s="44"/>
      <c r="AO25" s="762" t="s">
        <v>1094</v>
      </c>
      <c r="AP25" s="914" t="s">
        <v>871</v>
      </c>
      <c r="AQ25" s="917"/>
      <c r="AR25" s="763" t="s">
        <v>1094</v>
      </c>
      <c r="AS25" s="764" t="s">
        <v>1104</v>
      </c>
      <c r="AT25" s="924" t="s">
        <v>376</v>
      </c>
      <c r="AU25" s="929" t="s">
        <v>301</v>
      </c>
      <c r="AV25" s="932"/>
      <c r="AX25" s="762" t="s">
        <v>1094</v>
      </c>
      <c r="AY25" s="919" t="s">
        <v>266</v>
      </c>
      <c r="AZ25" s="823" t="s">
        <v>983</v>
      </c>
      <c r="BA25" s="823" t="s">
        <v>1000</v>
      </c>
      <c r="BB25" s="815" t="s">
        <v>904</v>
      </c>
      <c r="BC25" s="950"/>
      <c r="BD25" s="956"/>
      <c r="BF25" s="965"/>
    </row>
    <row r="26" spans="1:58" ht="14.25" customHeight="1">
      <c r="A26" s="762" t="s">
        <v>1094</v>
      </c>
      <c r="B26" s="773" t="s">
        <v>606</v>
      </c>
      <c r="C26" s="781">
        <v>0.186</v>
      </c>
      <c r="D26" s="789">
        <v>0.17799999999999999</v>
      </c>
      <c r="E26" s="789">
        <v>0.155</v>
      </c>
      <c r="F26" s="789">
        <v>0.125</v>
      </c>
      <c r="G26" s="800">
        <v>0.21</v>
      </c>
      <c r="H26" s="800">
        <v>0.22800000000000001</v>
      </c>
      <c r="I26" s="800">
        <v>0.20200000000000001</v>
      </c>
      <c r="J26" s="800">
        <v>0.22</v>
      </c>
      <c r="K26" s="800">
        <v>0.17899999999999999</v>
      </c>
      <c r="L26" s="800">
        <v>0.14899999999999999</v>
      </c>
      <c r="M26" s="806"/>
      <c r="N26" s="815" t="s">
        <v>887</v>
      </c>
      <c r="O26" s="823" t="s">
        <v>366</v>
      </c>
      <c r="P26" s="826"/>
      <c r="Q26" s="826"/>
      <c r="R26" s="826"/>
      <c r="S26" s="826"/>
      <c r="T26" s="830" t="s">
        <v>1106</v>
      </c>
      <c r="V26" s="840" t="s">
        <v>893</v>
      </c>
      <c r="W26" s="830" t="s">
        <v>1107</v>
      </c>
      <c r="Y26" s="845" t="s">
        <v>73</v>
      </c>
      <c r="Z26" s="851">
        <v>0.16</v>
      </c>
      <c r="AA26" s="858" t="s">
        <v>375</v>
      </c>
      <c r="AB26" s="867" t="s">
        <v>745</v>
      </c>
      <c r="AC26" s="874" t="str">
        <f t="shared" si="0"/>
        <v>東京都調布市</v>
      </c>
      <c r="AD26" s="883">
        <v>11.12</v>
      </c>
      <c r="AE26" s="864">
        <v>10.88</v>
      </c>
      <c r="AF26" s="877">
        <v>10.72</v>
      </c>
      <c r="AG26" s="843" t="s">
        <v>1112</v>
      </c>
      <c r="AH26" s="849">
        <v>0.45</v>
      </c>
      <c r="AI26" s="826"/>
      <c r="AJ26" s="44"/>
      <c r="AK26" s="44"/>
      <c r="AL26" s="44"/>
      <c r="AM26" s="44"/>
      <c r="AN26" s="44"/>
      <c r="AO26" s="762" t="s">
        <v>1112</v>
      </c>
      <c r="AP26" s="914" t="s">
        <v>932</v>
      </c>
      <c r="AQ26" s="917"/>
      <c r="AR26" s="763" t="s">
        <v>1112</v>
      </c>
      <c r="AS26" s="764" t="s">
        <v>1114</v>
      </c>
      <c r="AT26" s="924" t="s">
        <v>376</v>
      </c>
      <c r="AU26" s="929" t="s">
        <v>301</v>
      </c>
      <c r="AV26" s="932"/>
      <c r="AX26" s="762" t="s">
        <v>1112</v>
      </c>
      <c r="AY26" s="919" t="s">
        <v>1117</v>
      </c>
      <c r="AZ26" s="823" t="s">
        <v>983</v>
      </c>
      <c r="BA26" s="823" t="s">
        <v>1000</v>
      </c>
      <c r="BB26" s="815" t="s">
        <v>904</v>
      </c>
      <c r="BC26" s="950"/>
      <c r="BD26" s="956"/>
    </row>
    <row r="27" spans="1:58" ht="14.25" customHeight="1">
      <c r="A27" s="762" t="s">
        <v>1112</v>
      </c>
      <c r="B27" s="773" t="s">
        <v>1120</v>
      </c>
      <c r="C27" s="781">
        <v>0.186</v>
      </c>
      <c r="D27" s="789">
        <v>0.17799999999999999</v>
      </c>
      <c r="E27" s="789">
        <v>0.155</v>
      </c>
      <c r="F27" s="789">
        <v>0.125</v>
      </c>
      <c r="G27" s="800">
        <v>0.21</v>
      </c>
      <c r="H27" s="800">
        <v>0.22800000000000001</v>
      </c>
      <c r="I27" s="800">
        <v>0.20200000000000001</v>
      </c>
      <c r="J27" s="800">
        <v>0.22</v>
      </c>
      <c r="K27" s="800">
        <v>0.17899999999999999</v>
      </c>
      <c r="L27" s="800">
        <v>0.14899999999999999</v>
      </c>
      <c r="M27" s="806"/>
      <c r="N27" s="815" t="s">
        <v>887</v>
      </c>
      <c r="O27" s="823" t="s">
        <v>403</v>
      </c>
      <c r="P27" s="826"/>
      <c r="Q27" s="826"/>
      <c r="R27" s="826"/>
      <c r="S27" s="826"/>
      <c r="T27" s="830" t="s">
        <v>1122</v>
      </c>
      <c r="V27" s="840" t="s">
        <v>893</v>
      </c>
      <c r="W27" s="830" t="s">
        <v>1123</v>
      </c>
      <c r="Y27" s="843" t="s">
        <v>73</v>
      </c>
      <c r="Z27" s="849">
        <v>0.16</v>
      </c>
      <c r="AA27" s="856" t="s">
        <v>375</v>
      </c>
      <c r="AB27" s="865" t="s">
        <v>153</v>
      </c>
      <c r="AC27" s="875" t="str">
        <f t="shared" si="0"/>
        <v>東京都町田市</v>
      </c>
      <c r="AD27" s="884">
        <v>11.12</v>
      </c>
      <c r="AE27" s="865">
        <v>10.88</v>
      </c>
      <c r="AF27" s="874">
        <v>10.72</v>
      </c>
      <c r="AG27" s="843" t="s">
        <v>1124</v>
      </c>
      <c r="AH27" s="849">
        <v>0.45</v>
      </c>
      <c r="AI27" s="826"/>
      <c r="AJ27" s="44"/>
      <c r="AK27" s="44"/>
      <c r="AL27" s="44"/>
      <c r="AM27" s="44"/>
      <c r="AN27" s="44"/>
      <c r="AO27" s="762" t="s">
        <v>1127</v>
      </c>
      <c r="AP27" s="914" t="s">
        <v>932</v>
      </c>
      <c r="AQ27" s="917"/>
      <c r="AR27" s="763" t="s">
        <v>1127</v>
      </c>
      <c r="AS27" s="764" t="s">
        <v>235</v>
      </c>
      <c r="AT27" s="924" t="s">
        <v>376</v>
      </c>
      <c r="AU27" s="929" t="s">
        <v>301</v>
      </c>
      <c r="AV27" s="932"/>
      <c r="AX27" s="762" t="s">
        <v>1127</v>
      </c>
      <c r="AY27" s="919" t="s">
        <v>1128</v>
      </c>
      <c r="AZ27" s="823" t="s">
        <v>983</v>
      </c>
      <c r="BA27" s="823" t="s">
        <v>1000</v>
      </c>
      <c r="BB27" s="815" t="s">
        <v>904</v>
      </c>
      <c r="BC27" s="950"/>
      <c r="BD27" s="956"/>
    </row>
    <row r="28" spans="1:58" ht="14.25" customHeight="1">
      <c r="A28" s="762" t="s">
        <v>1127</v>
      </c>
      <c r="B28" s="773" t="s">
        <v>1129</v>
      </c>
      <c r="C28" s="781">
        <v>0.186</v>
      </c>
      <c r="D28" s="789">
        <v>0.17799999999999999</v>
      </c>
      <c r="E28" s="789">
        <v>0.155</v>
      </c>
      <c r="F28" s="789">
        <v>0.125</v>
      </c>
      <c r="G28" s="800">
        <v>0.21</v>
      </c>
      <c r="H28" s="800">
        <v>0.22800000000000001</v>
      </c>
      <c r="I28" s="800">
        <v>0.20200000000000001</v>
      </c>
      <c r="J28" s="800">
        <v>0.22</v>
      </c>
      <c r="K28" s="800">
        <v>0.17899999999999999</v>
      </c>
      <c r="L28" s="800">
        <v>0.14899999999999999</v>
      </c>
      <c r="M28" s="806"/>
      <c r="N28" s="815" t="s">
        <v>887</v>
      </c>
      <c r="O28" s="823" t="s">
        <v>937</v>
      </c>
      <c r="P28" s="826"/>
      <c r="Q28" s="826"/>
      <c r="R28" s="826"/>
      <c r="S28" s="826"/>
      <c r="T28" s="830" t="s">
        <v>520</v>
      </c>
      <c r="V28" s="840" t="s">
        <v>893</v>
      </c>
      <c r="W28" s="830" t="s">
        <v>1130</v>
      </c>
      <c r="Y28" s="843" t="s">
        <v>73</v>
      </c>
      <c r="Z28" s="849">
        <v>0.16</v>
      </c>
      <c r="AA28" s="856" t="s">
        <v>375</v>
      </c>
      <c r="AB28" s="865" t="s">
        <v>1010</v>
      </c>
      <c r="AC28" s="875" t="str">
        <f t="shared" si="0"/>
        <v>東京都狛江市</v>
      </c>
      <c r="AD28" s="884">
        <v>11.12</v>
      </c>
      <c r="AE28" s="865">
        <v>10.88</v>
      </c>
      <c r="AF28" s="875">
        <v>10.72</v>
      </c>
      <c r="AG28" s="843" t="s">
        <v>124</v>
      </c>
      <c r="AH28" s="849">
        <v>0.45</v>
      </c>
      <c r="AI28" s="826"/>
      <c r="AJ28" s="44"/>
      <c r="AK28" s="44"/>
      <c r="AL28" s="44"/>
      <c r="AM28" s="44"/>
      <c r="AN28" s="44"/>
      <c r="AO28" s="762" t="s">
        <v>1131</v>
      </c>
      <c r="AP28" s="914" t="s">
        <v>1139</v>
      </c>
      <c r="AQ28" s="917"/>
      <c r="AR28" s="763" t="s">
        <v>1131</v>
      </c>
      <c r="AS28" s="764" t="s">
        <v>1141</v>
      </c>
      <c r="AT28" s="924" t="s">
        <v>376</v>
      </c>
      <c r="AU28" s="929" t="s">
        <v>301</v>
      </c>
      <c r="AV28" s="932"/>
      <c r="AX28" s="762" t="s">
        <v>1131</v>
      </c>
      <c r="AY28" s="919" t="s">
        <v>1142</v>
      </c>
      <c r="AZ28" s="823" t="s">
        <v>983</v>
      </c>
      <c r="BA28" s="823" t="s">
        <v>1000</v>
      </c>
      <c r="BB28" s="815" t="s">
        <v>904</v>
      </c>
      <c r="BC28" s="950"/>
      <c r="BD28" s="956"/>
    </row>
    <row r="29" spans="1:58" ht="14.25" customHeight="1">
      <c r="A29" s="762" t="s">
        <v>1131</v>
      </c>
      <c r="B29" s="773" t="s">
        <v>362</v>
      </c>
      <c r="C29" s="781">
        <v>0.186</v>
      </c>
      <c r="D29" s="789">
        <v>0.17799999999999999</v>
      </c>
      <c r="E29" s="789">
        <v>0.155</v>
      </c>
      <c r="F29" s="789">
        <v>0.125</v>
      </c>
      <c r="G29" s="800">
        <v>0.21</v>
      </c>
      <c r="H29" s="800">
        <v>0.22800000000000001</v>
      </c>
      <c r="I29" s="800">
        <v>0.20200000000000001</v>
      </c>
      <c r="J29" s="800">
        <v>0.22</v>
      </c>
      <c r="K29" s="800">
        <v>0.17899999999999999</v>
      </c>
      <c r="L29" s="800">
        <v>0.14899999999999999</v>
      </c>
      <c r="M29" s="806"/>
      <c r="N29" s="815" t="s">
        <v>887</v>
      </c>
      <c r="O29" s="823" t="s">
        <v>474</v>
      </c>
      <c r="P29" s="826"/>
      <c r="Q29" s="826"/>
      <c r="R29" s="826"/>
      <c r="S29" s="826"/>
      <c r="T29" s="830" t="s">
        <v>1143</v>
      </c>
      <c r="V29" s="840" t="s">
        <v>893</v>
      </c>
      <c r="W29" s="830" t="s">
        <v>291</v>
      </c>
      <c r="Y29" s="843" t="s">
        <v>73</v>
      </c>
      <c r="Z29" s="849">
        <v>0.16</v>
      </c>
      <c r="AA29" s="856" t="s">
        <v>375</v>
      </c>
      <c r="AB29" s="865" t="s">
        <v>530</v>
      </c>
      <c r="AC29" s="875" t="str">
        <f t="shared" si="0"/>
        <v>東京都多摩市</v>
      </c>
      <c r="AD29" s="884">
        <v>11.12</v>
      </c>
      <c r="AE29" s="865">
        <v>10.88</v>
      </c>
      <c r="AF29" s="875">
        <v>10.72</v>
      </c>
      <c r="AG29" s="843" t="s">
        <v>1145</v>
      </c>
      <c r="AH29" s="849">
        <v>0.45</v>
      </c>
      <c r="AI29" s="826"/>
      <c r="AJ29" s="44"/>
      <c r="AK29" s="44"/>
      <c r="AL29" s="44"/>
      <c r="AM29" s="44"/>
      <c r="AN29" s="44"/>
      <c r="AO29" s="767" t="s">
        <v>859</v>
      </c>
      <c r="AP29" s="914" t="s">
        <v>871</v>
      </c>
      <c r="AQ29" s="917"/>
      <c r="AR29" s="830" t="s">
        <v>859</v>
      </c>
      <c r="AS29" s="764" t="s">
        <v>1150</v>
      </c>
      <c r="AT29" s="924" t="s">
        <v>376</v>
      </c>
      <c r="AU29" s="929" t="s">
        <v>301</v>
      </c>
      <c r="AV29" s="812" t="s">
        <v>1154</v>
      </c>
      <c r="AX29" s="762" t="s">
        <v>1145</v>
      </c>
      <c r="AY29" s="919" t="s">
        <v>508</v>
      </c>
      <c r="AZ29" s="823" t="s">
        <v>983</v>
      </c>
      <c r="BA29" s="823" t="s">
        <v>1000</v>
      </c>
      <c r="BB29" s="815" t="s">
        <v>904</v>
      </c>
      <c r="BC29" s="950"/>
      <c r="BD29" s="956"/>
    </row>
    <row r="30" spans="1:58" ht="14.25" customHeight="1">
      <c r="A30" s="762" t="s">
        <v>1145</v>
      </c>
      <c r="B30" s="773" t="s">
        <v>1157</v>
      </c>
      <c r="C30" s="781">
        <v>0.14000000000000001</v>
      </c>
      <c r="D30" s="789">
        <v>0.13600000000000001</v>
      </c>
      <c r="E30" s="789">
        <v>0.113</v>
      </c>
      <c r="F30" s="789">
        <v>9.e-002</v>
      </c>
      <c r="G30" s="800">
        <v>0.16300000000000001</v>
      </c>
      <c r="H30" s="800">
        <v>0.17599999999999999</v>
      </c>
      <c r="I30" s="800">
        <v>0.159</v>
      </c>
      <c r="J30" s="800">
        <v>0.17199999999999999</v>
      </c>
      <c r="K30" s="799">
        <v>0.13600000000000001</v>
      </c>
      <c r="L30" s="799">
        <v>0.113</v>
      </c>
      <c r="M30" s="805"/>
      <c r="N30" s="815" t="s">
        <v>887</v>
      </c>
      <c r="O30" s="823" t="s">
        <v>366</v>
      </c>
      <c r="P30" s="826"/>
      <c r="Q30" s="826"/>
      <c r="R30" s="826"/>
      <c r="S30" s="826"/>
      <c r="T30" s="830" t="s">
        <v>1158</v>
      </c>
      <c r="V30" s="840" t="s">
        <v>893</v>
      </c>
      <c r="W30" s="830" t="s">
        <v>1163</v>
      </c>
      <c r="Y30" s="843" t="s">
        <v>73</v>
      </c>
      <c r="Z30" s="849">
        <v>0.16</v>
      </c>
      <c r="AA30" s="856" t="s">
        <v>1165</v>
      </c>
      <c r="AB30" s="865" t="s">
        <v>854</v>
      </c>
      <c r="AC30" s="875" t="str">
        <f t="shared" si="0"/>
        <v>神奈川県横浜市</v>
      </c>
      <c r="AD30" s="884">
        <v>11.12</v>
      </c>
      <c r="AE30" s="865">
        <v>10.88</v>
      </c>
      <c r="AF30" s="875">
        <v>10.72</v>
      </c>
      <c r="AG30" s="843" t="s">
        <v>929</v>
      </c>
      <c r="AH30" s="849">
        <v>0.45</v>
      </c>
      <c r="AI30" s="826"/>
      <c r="AJ30" s="44"/>
      <c r="AK30" s="44"/>
      <c r="AL30" s="44"/>
      <c r="AM30" s="44"/>
      <c r="AN30" s="44"/>
      <c r="AO30" s="762" t="s">
        <v>929</v>
      </c>
      <c r="AP30" s="914" t="s">
        <v>871</v>
      </c>
      <c r="AQ30" s="917"/>
      <c r="AR30" s="763" t="s">
        <v>929</v>
      </c>
      <c r="AS30" s="764" t="s">
        <v>1167</v>
      </c>
      <c r="AT30" s="924" t="s">
        <v>376</v>
      </c>
      <c r="AU30" s="929" t="s">
        <v>301</v>
      </c>
      <c r="AV30" s="812" t="s">
        <v>1154</v>
      </c>
      <c r="AX30" s="762" t="s">
        <v>929</v>
      </c>
      <c r="AY30" s="919" t="s">
        <v>1169</v>
      </c>
      <c r="AZ30" s="823" t="s">
        <v>983</v>
      </c>
      <c r="BA30" s="823" t="s">
        <v>1000</v>
      </c>
      <c r="BB30" s="815" t="s">
        <v>904</v>
      </c>
      <c r="BC30" s="950"/>
      <c r="BD30" s="956"/>
    </row>
    <row r="31" spans="1:58" ht="14.25" customHeight="1">
      <c r="A31" s="762" t="s">
        <v>929</v>
      </c>
      <c r="B31" s="773" t="s">
        <v>388</v>
      </c>
      <c r="C31" s="781">
        <v>0.14000000000000001</v>
      </c>
      <c r="D31" s="789">
        <v>0.13600000000000001</v>
      </c>
      <c r="E31" s="789">
        <v>0.113</v>
      </c>
      <c r="F31" s="789">
        <v>9.e-002</v>
      </c>
      <c r="G31" s="800">
        <v>0.16300000000000001</v>
      </c>
      <c r="H31" s="800">
        <v>0.17599999999999999</v>
      </c>
      <c r="I31" s="800">
        <v>0.159</v>
      </c>
      <c r="J31" s="800">
        <v>0.17199999999999999</v>
      </c>
      <c r="K31" s="799">
        <v>0.13600000000000001</v>
      </c>
      <c r="L31" s="799">
        <v>0.113</v>
      </c>
      <c r="M31" s="805"/>
      <c r="N31" s="815" t="s">
        <v>887</v>
      </c>
      <c r="O31" s="823" t="s">
        <v>366</v>
      </c>
      <c r="P31" s="826"/>
      <c r="Q31" s="826"/>
      <c r="R31" s="826"/>
      <c r="S31" s="826"/>
      <c r="T31" s="830" t="s">
        <v>641</v>
      </c>
      <c r="V31" s="840" t="s">
        <v>893</v>
      </c>
      <c r="W31" s="830" t="s">
        <v>1160</v>
      </c>
      <c r="Y31" s="843" t="s">
        <v>73</v>
      </c>
      <c r="Z31" s="849">
        <v>0.16</v>
      </c>
      <c r="AA31" s="856" t="s">
        <v>1165</v>
      </c>
      <c r="AB31" s="865" t="s">
        <v>1170</v>
      </c>
      <c r="AC31" s="875" t="str">
        <f t="shared" si="0"/>
        <v>神奈川県川崎市</v>
      </c>
      <c r="AD31" s="884">
        <v>11.12</v>
      </c>
      <c r="AE31" s="865">
        <v>10.88</v>
      </c>
      <c r="AF31" s="875">
        <v>10.72</v>
      </c>
      <c r="AG31" s="843" t="s">
        <v>1171</v>
      </c>
      <c r="AH31" s="849">
        <v>0.55000000000000004</v>
      </c>
      <c r="AI31" s="826"/>
      <c r="AJ31" s="44"/>
      <c r="AK31" s="44"/>
      <c r="AL31" s="44"/>
      <c r="AM31" s="44"/>
      <c r="AN31" s="44"/>
      <c r="AO31" s="762" t="s">
        <v>1171</v>
      </c>
      <c r="AP31" s="914" t="s">
        <v>932</v>
      </c>
      <c r="AQ31" s="917"/>
      <c r="AR31" s="763" t="s">
        <v>1171</v>
      </c>
      <c r="AS31" s="764" t="s">
        <v>1174</v>
      </c>
      <c r="AT31" s="924" t="s">
        <v>376</v>
      </c>
      <c r="AU31" s="929" t="s">
        <v>301</v>
      </c>
      <c r="AV31" s="812" t="s">
        <v>201</v>
      </c>
      <c r="AX31" s="762" t="s">
        <v>1171</v>
      </c>
      <c r="AY31" s="919" t="s">
        <v>1176</v>
      </c>
      <c r="AZ31" s="823" t="s">
        <v>983</v>
      </c>
      <c r="BA31" s="823" t="s">
        <v>1000</v>
      </c>
      <c r="BB31" s="815" t="s">
        <v>861</v>
      </c>
      <c r="BC31" s="950" t="s">
        <v>892</v>
      </c>
      <c r="BD31" s="956" t="s">
        <v>904</v>
      </c>
    </row>
    <row r="32" spans="1:58" ht="14.25" customHeight="1">
      <c r="A32" s="762" t="s">
        <v>1171</v>
      </c>
      <c r="B32" s="773" t="s">
        <v>1177</v>
      </c>
      <c r="C32" s="781">
        <v>0.14000000000000001</v>
      </c>
      <c r="D32" s="789">
        <v>0.13600000000000001</v>
      </c>
      <c r="E32" s="789">
        <v>0.113</v>
      </c>
      <c r="F32" s="789">
        <v>9.e-002</v>
      </c>
      <c r="G32" s="800">
        <v>0.16300000000000001</v>
      </c>
      <c r="H32" s="800">
        <v>0.17599999999999999</v>
      </c>
      <c r="I32" s="800">
        <v>0.159</v>
      </c>
      <c r="J32" s="800">
        <v>0.17199999999999999</v>
      </c>
      <c r="K32" s="800">
        <v>0.13600000000000001</v>
      </c>
      <c r="L32" s="800">
        <v>0.113</v>
      </c>
      <c r="M32" s="806"/>
      <c r="N32" s="815" t="s">
        <v>887</v>
      </c>
      <c r="O32" s="823" t="s">
        <v>366</v>
      </c>
      <c r="P32" s="826"/>
      <c r="Q32" s="826"/>
      <c r="R32" s="826"/>
      <c r="S32" s="826"/>
      <c r="T32" s="830" t="s">
        <v>1178</v>
      </c>
      <c r="V32" s="840" t="s">
        <v>893</v>
      </c>
      <c r="W32" s="830" t="s">
        <v>734</v>
      </c>
      <c r="Y32" s="846" t="s">
        <v>73</v>
      </c>
      <c r="Z32" s="852">
        <v>0.16</v>
      </c>
      <c r="AA32" s="859" t="s">
        <v>249</v>
      </c>
      <c r="AB32" s="868" t="s">
        <v>731</v>
      </c>
      <c r="AC32" s="876" t="str">
        <f t="shared" si="0"/>
        <v>大阪府大阪市</v>
      </c>
      <c r="AD32" s="885">
        <v>11.12</v>
      </c>
      <c r="AE32" s="866">
        <v>10.88</v>
      </c>
      <c r="AF32" s="878">
        <v>10.72</v>
      </c>
      <c r="AG32" s="843" t="s">
        <v>1181</v>
      </c>
      <c r="AH32" s="849">
        <v>0.55000000000000004</v>
      </c>
      <c r="AI32" s="826"/>
      <c r="AJ32" s="44"/>
      <c r="AK32" s="44"/>
      <c r="AL32" s="44"/>
      <c r="AM32" s="44"/>
      <c r="AN32" s="44"/>
      <c r="AO32" s="762" t="s">
        <v>1181</v>
      </c>
      <c r="AP32" s="914" t="s">
        <v>932</v>
      </c>
      <c r="AQ32" s="917"/>
      <c r="AR32" s="763" t="s">
        <v>1181</v>
      </c>
      <c r="AS32" s="764" t="s">
        <v>1175</v>
      </c>
      <c r="AT32" s="924" t="s">
        <v>376</v>
      </c>
      <c r="AU32" s="929" t="s">
        <v>301</v>
      </c>
      <c r="AV32" s="812" t="s">
        <v>201</v>
      </c>
      <c r="AX32" s="762" t="s">
        <v>1181</v>
      </c>
      <c r="AY32" s="919" t="s">
        <v>1184</v>
      </c>
      <c r="AZ32" s="823" t="s">
        <v>983</v>
      </c>
      <c r="BA32" s="823" t="s">
        <v>1000</v>
      </c>
      <c r="BB32" s="815" t="s">
        <v>861</v>
      </c>
      <c r="BC32" s="950" t="s">
        <v>892</v>
      </c>
      <c r="BD32" s="956" t="s">
        <v>904</v>
      </c>
    </row>
    <row r="33" spans="1:56" ht="14.25" customHeight="1">
      <c r="A33" s="762" t="s">
        <v>1181</v>
      </c>
      <c r="B33" s="773" t="s">
        <v>1162</v>
      </c>
      <c r="C33" s="781">
        <v>0.14000000000000001</v>
      </c>
      <c r="D33" s="789">
        <v>0.13600000000000001</v>
      </c>
      <c r="E33" s="789">
        <v>0.113</v>
      </c>
      <c r="F33" s="789">
        <v>9.e-002</v>
      </c>
      <c r="G33" s="800">
        <v>0.16300000000000001</v>
      </c>
      <c r="H33" s="800">
        <v>0.17599999999999999</v>
      </c>
      <c r="I33" s="800">
        <v>0.159</v>
      </c>
      <c r="J33" s="800">
        <v>0.17199999999999999</v>
      </c>
      <c r="K33" s="800">
        <v>0.13600000000000001</v>
      </c>
      <c r="L33" s="800">
        <v>0.113</v>
      </c>
      <c r="M33" s="806"/>
      <c r="N33" s="815" t="s">
        <v>887</v>
      </c>
      <c r="O33" s="823" t="s">
        <v>937</v>
      </c>
      <c r="P33" s="826"/>
      <c r="Q33" s="826"/>
      <c r="R33" s="826"/>
      <c r="S33" s="826"/>
      <c r="T33" s="830" t="s">
        <v>1185</v>
      </c>
      <c r="V33" s="840" t="s">
        <v>893</v>
      </c>
      <c r="W33" s="830" t="s">
        <v>1100</v>
      </c>
      <c r="Y33" s="842" t="s">
        <v>1188</v>
      </c>
      <c r="Z33" s="848">
        <v>0.15</v>
      </c>
      <c r="AA33" s="855" t="s">
        <v>99</v>
      </c>
      <c r="AB33" s="864" t="s">
        <v>1138</v>
      </c>
      <c r="AC33" s="871" t="str">
        <f t="shared" si="0"/>
        <v>埼玉県さいたま市</v>
      </c>
      <c r="AD33" s="883">
        <v>11.05</v>
      </c>
      <c r="AE33" s="864">
        <v>10.83</v>
      </c>
      <c r="AF33" s="877">
        <v>10.68</v>
      </c>
      <c r="AG33" s="843" t="s">
        <v>1189</v>
      </c>
      <c r="AH33" s="849">
        <v>0.45</v>
      </c>
      <c r="AJ33" s="44"/>
      <c r="AK33" s="44"/>
      <c r="AL33" s="44"/>
      <c r="AM33" s="44"/>
      <c r="AN33" s="44"/>
      <c r="AO33" s="762" t="s">
        <v>1189</v>
      </c>
      <c r="AP33" s="914" t="s">
        <v>871</v>
      </c>
      <c r="AQ33" s="917"/>
      <c r="AR33" s="762" t="s">
        <v>1189</v>
      </c>
      <c r="AS33" s="764" t="s">
        <v>412</v>
      </c>
      <c r="AT33" s="924" t="s">
        <v>376</v>
      </c>
      <c r="AU33" s="929" t="s">
        <v>301</v>
      </c>
      <c r="AV33" s="932"/>
      <c r="AX33" s="762" t="s">
        <v>1189</v>
      </c>
      <c r="AY33" s="919" t="s">
        <v>1191</v>
      </c>
      <c r="AZ33" s="823" t="s">
        <v>983</v>
      </c>
      <c r="BA33" s="823" t="s">
        <v>1000</v>
      </c>
      <c r="BB33" s="815" t="s">
        <v>904</v>
      </c>
      <c r="BC33" s="950"/>
      <c r="BD33" s="956"/>
    </row>
    <row r="34" spans="1:56" ht="14.25" customHeight="1">
      <c r="A34" s="762" t="s">
        <v>1189</v>
      </c>
      <c r="B34" s="773" t="s">
        <v>729</v>
      </c>
      <c r="C34" s="781">
        <v>7.5000000000000011e-002</v>
      </c>
      <c r="D34" s="789">
        <v>7.1000000000000008e-002</v>
      </c>
      <c r="E34" s="789">
        <v>5.3999999999999999e-002</v>
      </c>
      <c r="F34" s="789">
        <v>4.4000000000000004e-002</v>
      </c>
      <c r="G34" s="799">
        <v>9.e-002</v>
      </c>
      <c r="H34" s="799">
        <v>9.7000000000000003e-002</v>
      </c>
      <c r="I34" s="799">
        <v>8.5999999999999993e-002</v>
      </c>
      <c r="J34" s="799">
        <v>9.2999999999999999e-002</v>
      </c>
      <c r="K34" s="800">
        <v>6.9000000000000006e-002</v>
      </c>
      <c r="L34" s="800">
        <v>5.8999999999999997e-002</v>
      </c>
      <c r="M34" s="806"/>
      <c r="N34" s="815" t="s">
        <v>887</v>
      </c>
      <c r="O34" s="823" t="s">
        <v>366</v>
      </c>
      <c r="P34" s="826"/>
      <c r="Q34" s="826"/>
      <c r="R34" s="826"/>
      <c r="S34" s="826"/>
      <c r="T34" s="830" t="s">
        <v>1192</v>
      </c>
      <c r="V34" s="840" t="s">
        <v>893</v>
      </c>
      <c r="W34" s="830" t="s">
        <v>1193</v>
      </c>
      <c r="Y34" s="843" t="s">
        <v>1188</v>
      </c>
      <c r="Z34" s="849">
        <v>0.15</v>
      </c>
      <c r="AA34" s="856" t="s">
        <v>643</v>
      </c>
      <c r="AB34" s="865" t="s">
        <v>308</v>
      </c>
      <c r="AC34" s="872" t="str">
        <f t="shared" si="0"/>
        <v>千葉県千葉市</v>
      </c>
      <c r="AD34" s="884">
        <v>11.05</v>
      </c>
      <c r="AE34" s="865">
        <v>10.83</v>
      </c>
      <c r="AF34" s="875">
        <v>10.68</v>
      </c>
      <c r="AG34" s="843" t="s">
        <v>1195</v>
      </c>
      <c r="AH34" s="849">
        <v>0.45</v>
      </c>
      <c r="AJ34" s="44"/>
      <c r="AK34" s="44"/>
      <c r="AL34" s="44"/>
      <c r="AM34" s="44"/>
      <c r="AN34" s="44"/>
      <c r="AO34" s="762" t="s">
        <v>1195</v>
      </c>
      <c r="AP34" s="914" t="s">
        <v>932</v>
      </c>
      <c r="AQ34" s="917"/>
      <c r="AR34" s="762" t="s">
        <v>1195</v>
      </c>
      <c r="AS34" s="764" t="s">
        <v>895</v>
      </c>
      <c r="AT34" s="924" t="s">
        <v>376</v>
      </c>
      <c r="AU34" s="929" t="s">
        <v>301</v>
      </c>
      <c r="AV34" s="812" t="s">
        <v>1199</v>
      </c>
      <c r="AX34" s="762" t="s">
        <v>1195</v>
      </c>
      <c r="AY34" s="919" t="s">
        <v>1201</v>
      </c>
      <c r="AZ34" s="823" t="s">
        <v>983</v>
      </c>
      <c r="BA34" s="823" t="s">
        <v>1000</v>
      </c>
      <c r="BB34" s="815" t="s">
        <v>861</v>
      </c>
      <c r="BC34" s="950" t="s">
        <v>892</v>
      </c>
      <c r="BD34" s="956" t="s">
        <v>904</v>
      </c>
    </row>
    <row r="35" spans="1:56" ht="14.25" customHeight="1">
      <c r="A35" s="762" t="s">
        <v>1195</v>
      </c>
      <c r="B35" s="773" t="s">
        <v>1012</v>
      </c>
      <c r="C35" s="781">
        <v>7.5000000000000011e-002</v>
      </c>
      <c r="D35" s="789">
        <v>7.1000000000000008e-002</v>
      </c>
      <c r="E35" s="789">
        <v>5.3999999999999999e-002</v>
      </c>
      <c r="F35" s="789">
        <v>4.4000000000000004e-002</v>
      </c>
      <c r="G35" s="800">
        <v>9.e-002</v>
      </c>
      <c r="H35" s="800">
        <v>9.7000000000000003e-002</v>
      </c>
      <c r="I35" s="800">
        <v>8.5999999999999993e-002</v>
      </c>
      <c r="J35" s="800">
        <v>9.2999999999999999e-002</v>
      </c>
      <c r="K35" s="799">
        <v>6.9000000000000006e-002</v>
      </c>
      <c r="L35" s="799">
        <v>5.8999999999999997e-002</v>
      </c>
      <c r="M35" s="805"/>
      <c r="N35" s="815" t="s">
        <v>887</v>
      </c>
      <c r="O35" s="823" t="s">
        <v>366</v>
      </c>
      <c r="P35" s="826"/>
      <c r="Q35" s="826"/>
      <c r="R35" s="826"/>
      <c r="S35" s="826"/>
      <c r="T35" s="830" t="s">
        <v>1207</v>
      </c>
      <c r="V35" s="840" t="s">
        <v>893</v>
      </c>
      <c r="W35" s="830" t="s">
        <v>1208</v>
      </c>
      <c r="Y35" s="843" t="s">
        <v>1188</v>
      </c>
      <c r="Z35" s="849">
        <v>0.15</v>
      </c>
      <c r="AA35" s="856" t="s">
        <v>643</v>
      </c>
      <c r="AB35" s="865" t="s">
        <v>1209</v>
      </c>
      <c r="AC35" s="872" t="str">
        <f t="shared" si="0"/>
        <v>千葉県浦安市</v>
      </c>
      <c r="AD35" s="884">
        <v>11.05</v>
      </c>
      <c r="AE35" s="865">
        <v>10.83</v>
      </c>
      <c r="AF35" s="875">
        <v>10.68</v>
      </c>
      <c r="AG35" s="843" t="s">
        <v>41</v>
      </c>
      <c r="AH35" s="849">
        <v>0.45</v>
      </c>
      <c r="AJ35" s="44"/>
      <c r="AK35" s="44"/>
      <c r="AL35" s="44"/>
      <c r="AM35" s="44"/>
      <c r="AN35" s="44"/>
      <c r="AO35" s="762" t="s">
        <v>41</v>
      </c>
      <c r="AP35" s="914" t="s">
        <v>1139</v>
      </c>
      <c r="AQ35" s="917"/>
      <c r="AR35" s="762" t="s">
        <v>41</v>
      </c>
      <c r="AS35" s="764" t="s">
        <v>2451</v>
      </c>
      <c r="AT35" s="924" t="s">
        <v>376</v>
      </c>
      <c r="AU35" s="929" t="s">
        <v>301</v>
      </c>
      <c r="AV35" s="812" t="s">
        <v>1199</v>
      </c>
      <c r="AX35" s="762" t="s">
        <v>41</v>
      </c>
      <c r="AY35" s="919" t="s">
        <v>1216</v>
      </c>
      <c r="AZ35" s="823" t="s">
        <v>983</v>
      </c>
      <c r="BA35" s="823" t="s">
        <v>1000</v>
      </c>
      <c r="BB35" s="815" t="s">
        <v>861</v>
      </c>
      <c r="BC35" s="950" t="s">
        <v>892</v>
      </c>
      <c r="BD35" s="956" t="s">
        <v>904</v>
      </c>
    </row>
    <row r="36" spans="1:56" ht="14.25" customHeight="1">
      <c r="A36" s="762" t="s">
        <v>41</v>
      </c>
      <c r="B36" s="773" t="s">
        <v>1220</v>
      </c>
      <c r="C36" s="781">
        <v>7.5000000000000011e-002</v>
      </c>
      <c r="D36" s="789">
        <v>7.1000000000000008e-002</v>
      </c>
      <c r="E36" s="789">
        <v>5.3999999999999999e-002</v>
      </c>
      <c r="F36" s="789">
        <v>4.4000000000000004e-002</v>
      </c>
      <c r="G36" s="800">
        <v>9.e-002</v>
      </c>
      <c r="H36" s="800">
        <v>9.7000000000000003e-002</v>
      </c>
      <c r="I36" s="800">
        <v>8.5999999999999993e-002</v>
      </c>
      <c r="J36" s="800">
        <v>9.2999999999999999e-002</v>
      </c>
      <c r="K36" s="799">
        <v>6.9000000000000006e-002</v>
      </c>
      <c r="L36" s="799">
        <v>5.8999999999999997e-002</v>
      </c>
      <c r="M36" s="805"/>
      <c r="N36" s="815" t="s">
        <v>887</v>
      </c>
      <c r="O36" s="823" t="s">
        <v>937</v>
      </c>
      <c r="P36" s="826"/>
      <c r="Q36" s="826"/>
      <c r="R36" s="826"/>
      <c r="S36" s="826"/>
      <c r="T36" s="830" t="s">
        <v>1221</v>
      </c>
      <c r="V36" s="840" t="s">
        <v>893</v>
      </c>
      <c r="W36" s="830" t="s">
        <v>1222</v>
      </c>
      <c r="Y36" s="843" t="s">
        <v>1188</v>
      </c>
      <c r="Z36" s="849">
        <v>0.15</v>
      </c>
      <c r="AA36" s="856" t="s">
        <v>375</v>
      </c>
      <c r="AB36" s="865" t="s">
        <v>902</v>
      </c>
      <c r="AC36" s="872" t="str">
        <f t="shared" si="0"/>
        <v>東京都八王子市</v>
      </c>
      <c r="AD36" s="884">
        <v>11.05</v>
      </c>
      <c r="AE36" s="865">
        <v>10.83</v>
      </c>
      <c r="AF36" s="875">
        <v>10.68</v>
      </c>
      <c r="AG36" s="762" t="s">
        <v>1226</v>
      </c>
      <c r="AH36" s="849">
        <v>0.45</v>
      </c>
      <c r="AJ36" s="44"/>
      <c r="AK36" s="44"/>
      <c r="AL36" s="44"/>
      <c r="AM36" s="44"/>
      <c r="AN36" s="44"/>
      <c r="AO36" s="762" t="s">
        <v>1226</v>
      </c>
      <c r="AP36" s="914" t="s">
        <v>932</v>
      </c>
      <c r="AQ36" s="917"/>
      <c r="AR36" s="762" t="s">
        <v>1226</v>
      </c>
      <c r="AS36" s="764" t="s">
        <v>2454</v>
      </c>
      <c r="AT36" s="924" t="s">
        <v>376</v>
      </c>
      <c r="AU36" s="929" t="s">
        <v>301</v>
      </c>
      <c r="AV36" s="812"/>
      <c r="AX36" s="762" t="s">
        <v>1226</v>
      </c>
      <c r="AY36" s="919" t="s">
        <v>2453</v>
      </c>
      <c r="AZ36" s="823" t="s">
        <v>983</v>
      </c>
      <c r="BA36" s="823" t="s">
        <v>1000</v>
      </c>
      <c r="BB36" s="815" t="s">
        <v>861</v>
      </c>
      <c r="BC36" s="950" t="s">
        <v>892</v>
      </c>
      <c r="BD36" s="956" t="s">
        <v>904</v>
      </c>
    </row>
    <row r="37" spans="1:56" ht="14.25" customHeight="1">
      <c r="A37" s="762" t="s">
        <v>1226</v>
      </c>
      <c r="B37" s="773" t="s">
        <v>995</v>
      </c>
      <c r="C37" s="781">
        <v>5.099999999999999e-002</v>
      </c>
      <c r="D37" s="789">
        <v>4.6999999999999993e-002</v>
      </c>
      <c r="E37" s="789">
        <v>3.5999999999999997e-002</v>
      </c>
      <c r="F37" s="789">
        <v>2.9000000000000001e-002</v>
      </c>
      <c r="G37" s="799">
        <v>6.2e-002</v>
      </c>
      <c r="H37" s="799">
        <v>6.6000000000000003e-002</v>
      </c>
      <c r="I37" s="799">
        <v>5.8000000000000003e-002</v>
      </c>
      <c r="J37" s="799">
        <v>6.2e-002</v>
      </c>
      <c r="K37" s="800">
        <v>4.7e-002</v>
      </c>
      <c r="L37" s="800">
        <v>4.e-002</v>
      </c>
      <c r="M37" s="806"/>
      <c r="N37" s="815" t="s">
        <v>887</v>
      </c>
      <c r="O37" s="823" t="s">
        <v>366</v>
      </c>
      <c r="P37" s="826"/>
      <c r="Q37" s="826"/>
      <c r="R37" s="826"/>
      <c r="S37" s="826"/>
      <c r="T37" s="830" t="s">
        <v>926</v>
      </c>
      <c r="V37" s="840" t="s">
        <v>893</v>
      </c>
      <c r="W37" s="830" t="s">
        <v>207</v>
      </c>
      <c r="Y37" s="843" t="s">
        <v>1188</v>
      </c>
      <c r="Z37" s="849">
        <v>0.15</v>
      </c>
      <c r="AA37" s="856" t="s">
        <v>375</v>
      </c>
      <c r="AB37" s="865" t="s">
        <v>1229</v>
      </c>
      <c r="AC37" s="872" t="str">
        <f t="shared" si="0"/>
        <v>東京都武蔵野市</v>
      </c>
      <c r="AD37" s="884">
        <v>11.05</v>
      </c>
      <c r="AE37" s="865">
        <v>10.83</v>
      </c>
      <c r="AF37" s="875">
        <v>10.68</v>
      </c>
      <c r="AG37" s="762" t="s">
        <v>1105</v>
      </c>
      <c r="AH37" s="849">
        <v>0.45</v>
      </c>
      <c r="AJ37" s="44"/>
      <c r="AK37" s="44"/>
      <c r="AL37" s="44"/>
      <c r="AM37" s="44"/>
      <c r="AN37" s="44"/>
      <c r="AO37" s="762" t="s">
        <v>1105</v>
      </c>
      <c r="AP37" s="914" t="s">
        <v>1139</v>
      </c>
      <c r="AQ37" s="917"/>
      <c r="AR37" s="762" t="s">
        <v>1105</v>
      </c>
      <c r="AS37" s="764" t="s">
        <v>836</v>
      </c>
      <c r="AT37" s="924" t="s">
        <v>376</v>
      </c>
      <c r="AU37" s="929" t="s">
        <v>301</v>
      </c>
      <c r="AV37" s="812"/>
      <c r="AX37" s="762" t="s">
        <v>1105</v>
      </c>
      <c r="AY37" s="919" t="s">
        <v>1799</v>
      </c>
      <c r="AZ37" s="823" t="s">
        <v>983</v>
      </c>
      <c r="BA37" s="823" t="s">
        <v>1000</v>
      </c>
      <c r="BB37" s="815" t="s">
        <v>861</v>
      </c>
      <c r="BC37" s="950" t="s">
        <v>892</v>
      </c>
      <c r="BD37" s="956" t="s">
        <v>904</v>
      </c>
    </row>
    <row r="38" spans="1:56" ht="14.25" customHeight="1">
      <c r="A38" s="762" t="s">
        <v>1105</v>
      </c>
      <c r="B38" s="773" t="s">
        <v>1231</v>
      </c>
      <c r="C38" s="781">
        <v>5.099999999999999e-002</v>
      </c>
      <c r="D38" s="789">
        <v>4.6999999999999993e-002</v>
      </c>
      <c r="E38" s="789">
        <v>3.5999999999999997e-002</v>
      </c>
      <c r="F38" s="789">
        <v>2.9000000000000001e-002</v>
      </c>
      <c r="G38" s="799">
        <v>6.2e-002</v>
      </c>
      <c r="H38" s="799">
        <v>6.6000000000000003e-002</v>
      </c>
      <c r="I38" s="799">
        <v>5.8000000000000003e-002</v>
      </c>
      <c r="J38" s="799">
        <v>6.2e-002</v>
      </c>
      <c r="K38" s="800">
        <v>4.7e-002</v>
      </c>
      <c r="L38" s="800">
        <v>4.e-002</v>
      </c>
      <c r="M38" s="806"/>
      <c r="N38" s="815" t="s">
        <v>887</v>
      </c>
      <c r="O38" s="823" t="s">
        <v>937</v>
      </c>
      <c r="P38" s="826"/>
      <c r="Q38" s="826"/>
      <c r="R38" s="826"/>
      <c r="S38" s="826"/>
      <c r="T38" s="830" t="s">
        <v>579</v>
      </c>
      <c r="V38" s="840" t="s">
        <v>893</v>
      </c>
      <c r="W38" s="830" t="s">
        <v>514</v>
      </c>
      <c r="Y38" s="843" t="s">
        <v>1188</v>
      </c>
      <c r="Z38" s="849">
        <v>0.15</v>
      </c>
      <c r="AA38" s="856" t="s">
        <v>375</v>
      </c>
      <c r="AB38" s="865" t="s">
        <v>1233</v>
      </c>
      <c r="AC38" s="872" t="str">
        <f t="shared" si="0"/>
        <v>東京都三鷹市</v>
      </c>
      <c r="AD38" s="884">
        <v>11.05</v>
      </c>
      <c r="AE38" s="865">
        <v>10.83</v>
      </c>
      <c r="AF38" s="875">
        <v>10.68</v>
      </c>
      <c r="AG38" s="843" t="s">
        <v>462</v>
      </c>
      <c r="AH38" s="849">
        <v>0.45</v>
      </c>
      <c r="AJ38" s="44"/>
      <c r="AK38" s="44"/>
      <c r="AL38" s="44"/>
      <c r="AM38" s="44"/>
      <c r="AN38" s="44"/>
      <c r="AO38" s="763" t="s">
        <v>1235</v>
      </c>
      <c r="AP38" s="914" t="s">
        <v>871</v>
      </c>
      <c r="AQ38" s="917"/>
      <c r="AR38" s="763" t="s">
        <v>1235</v>
      </c>
      <c r="AS38" s="764" t="s">
        <v>276</v>
      </c>
      <c r="AT38" s="924" t="s">
        <v>376</v>
      </c>
      <c r="AU38" s="929" t="s">
        <v>301</v>
      </c>
      <c r="AV38" s="932"/>
      <c r="AX38" s="762" t="s">
        <v>1235</v>
      </c>
      <c r="AY38" s="919" t="s">
        <v>1238</v>
      </c>
      <c r="AZ38" s="824" t="s">
        <v>983</v>
      </c>
      <c r="BA38" s="824" t="s">
        <v>1000</v>
      </c>
      <c r="BB38" s="817" t="s">
        <v>904</v>
      </c>
      <c r="BC38" s="951"/>
      <c r="BD38" s="957"/>
    </row>
    <row r="39" spans="1:56" ht="14.25" customHeight="1">
      <c r="A39" s="763" t="s">
        <v>1235</v>
      </c>
      <c r="B39" s="773" t="s">
        <v>367</v>
      </c>
      <c r="C39" s="781">
        <v>5.099999999999999e-002</v>
      </c>
      <c r="D39" s="789">
        <v>4.6999999999999993e-002</v>
      </c>
      <c r="E39" s="789">
        <v>3.5999999999999997e-002</v>
      </c>
      <c r="F39" s="789">
        <v>2.9000000000000001e-002</v>
      </c>
      <c r="G39" s="799">
        <v>6.2e-002</v>
      </c>
      <c r="H39" s="799">
        <v>6.6000000000000003e-002</v>
      </c>
      <c r="I39" s="799">
        <v>5.8000000000000003e-002</v>
      </c>
      <c r="J39" s="799">
        <v>6.2e-002</v>
      </c>
      <c r="K39" s="799">
        <v>4.7e-002</v>
      </c>
      <c r="L39" s="799">
        <v>4.e-002</v>
      </c>
      <c r="M39" s="805"/>
      <c r="N39" s="815" t="s">
        <v>887</v>
      </c>
      <c r="O39" s="823" t="s">
        <v>366</v>
      </c>
      <c r="P39" s="826"/>
      <c r="Q39" s="826"/>
      <c r="R39" s="826"/>
      <c r="S39" s="826"/>
      <c r="T39" s="830" t="s">
        <v>1224</v>
      </c>
      <c r="V39" s="840" t="s">
        <v>893</v>
      </c>
      <c r="W39" s="830" t="s">
        <v>1241</v>
      </c>
      <c r="Y39" s="843" t="s">
        <v>1188</v>
      </c>
      <c r="Z39" s="849">
        <v>0.15</v>
      </c>
      <c r="AA39" s="856" t="s">
        <v>375</v>
      </c>
      <c r="AB39" s="865" t="s">
        <v>667</v>
      </c>
      <c r="AC39" s="872" t="str">
        <f t="shared" si="0"/>
        <v>東京都青梅市</v>
      </c>
      <c r="AD39" s="884">
        <v>11.05</v>
      </c>
      <c r="AE39" s="865">
        <v>10.83</v>
      </c>
      <c r="AF39" s="875">
        <v>10.68</v>
      </c>
      <c r="AG39" s="846" t="s">
        <v>1243</v>
      </c>
      <c r="AH39" s="852">
        <v>0.45</v>
      </c>
      <c r="AJ39" s="44"/>
      <c r="AK39" s="44"/>
      <c r="AL39" s="44"/>
      <c r="AM39" s="44"/>
      <c r="AN39" s="44"/>
      <c r="AO39" s="764" t="s">
        <v>1243</v>
      </c>
      <c r="AP39" s="914" t="s">
        <v>932</v>
      </c>
      <c r="AQ39" s="917"/>
      <c r="AR39" s="764" t="s">
        <v>1243</v>
      </c>
      <c r="AS39" s="764" t="s">
        <v>1244</v>
      </c>
      <c r="AT39" s="924" t="s">
        <v>376</v>
      </c>
      <c r="AU39" s="929" t="s">
        <v>301</v>
      </c>
      <c r="AV39" s="812" t="s">
        <v>201</v>
      </c>
      <c r="AX39" s="764" t="s">
        <v>1243</v>
      </c>
      <c r="AY39" s="919" t="s">
        <v>2452</v>
      </c>
      <c r="AZ39" s="824" t="s">
        <v>983</v>
      </c>
      <c r="BA39" s="824" t="s">
        <v>1000</v>
      </c>
      <c r="BB39" s="815" t="s">
        <v>861</v>
      </c>
      <c r="BC39" s="950" t="s">
        <v>892</v>
      </c>
      <c r="BD39" s="957" t="s">
        <v>904</v>
      </c>
    </row>
    <row r="40" spans="1:56" ht="14.25" customHeight="1">
      <c r="A40" s="764" t="s">
        <v>1243</v>
      </c>
      <c r="B40" s="772" t="s">
        <v>715</v>
      </c>
      <c r="C40" s="781">
        <v>5.099999999999999e-002</v>
      </c>
      <c r="D40" s="789">
        <v>4.6999999999999993e-002</v>
      </c>
      <c r="E40" s="789">
        <v>3.5999999999999997e-002</v>
      </c>
      <c r="F40" s="789">
        <v>2.9000000000000001e-002</v>
      </c>
      <c r="G40" s="799">
        <v>6.2e-002</v>
      </c>
      <c r="H40" s="799">
        <v>6.6000000000000003e-002</v>
      </c>
      <c r="I40" s="799">
        <v>5.8000000000000003e-002</v>
      </c>
      <c r="J40" s="799">
        <v>6.2e-002</v>
      </c>
      <c r="K40" s="799">
        <v>4.7e-002</v>
      </c>
      <c r="L40" s="799">
        <v>4.e-002</v>
      </c>
      <c r="M40" s="805"/>
      <c r="N40" s="815" t="s">
        <v>887</v>
      </c>
      <c r="O40" s="823" t="s">
        <v>366</v>
      </c>
      <c r="P40" s="826"/>
      <c r="Q40" s="826"/>
      <c r="R40" s="826"/>
      <c r="S40" s="826"/>
      <c r="T40" s="830" t="s">
        <v>193</v>
      </c>
      <c r="V40" s="840" t="s">
        <v>893</v>
      </c>
      <c r="W40" s="830" t="s">
        <v>1248</v>
      </c>
      <c r="Y40" s="843" t="s">
        <v>1188</v>
      </c>
      <c r="Z40" s="849">
        <v>0.15</v>
      </c>
      <c r="AA40" s="856" t="s">
        <v>375</v>
      </c>
      <c r="AB40" s="865" t="s">
        <v>324</v>
      </c>
      <c r="AC40" s="872" t="str">
        <f t="shared" si="0"/>
        <v>東京都府中市</v>
      </c>
      <c r="AD40" s="884">
        <v>11.05</v>
      </c>
      <c r="AE40" s="865">
        <v>10.83</v>
      </c>
      <c r="AF40" s="872">
        <v>10.68</v>
      </c>
      <c r="AG40" s="846" t="s">
        <v>1251</v>
      </c>
      <c r="AH40" s="852">
        <v>0.45</v>
      </c>
      <c r="AJ40" s="44"/>
      <c r="AK40" s="44"/>
      <c r="AL40" s="44"/>
      <c r="AM40" s="44"/>
      <c r="AN40" s="44"/>
      <c r="AO40" s="765" t="s">
        <v>1251</v>
      </c>
      <c r="AP40" s="915" t="s">
        <v>932</v>
      </c>
      <c r="AQ40" s="917"/>
      <c r="AR40" s="765" t="s">
        <v>1251</v>
      </c>
      <c r="AS40" s="764" t="s">
        <v>1252</v>
      </c>
      <c r="AT40" s="924" t="s">
        <v>376</v>
      </c>
      <c r="AU40" s="929" t="s">
        <v>301</v>
      </c>
      <c r="AV40" s="812" t="s">
        <v>201</v>
      </c>
      <c r="AX40" s="769" t="s">
        <v>1251</v>
      </c>
      <c r="AY40" s="939" t="s">
        <v>361</v>
      </c>
      <c r="AZ40" s="825" t="s">
        <v>983</v>
      </c>
      <c r="BA40" s="825" t="s">
        <v>1000</v>
      </c>
      <c r="BB40" s="819" t="s">
        <v>861</v>
      </c>
      <c r="BC40" s="952" t="s">
        <v>892</v>
      </c>
      <c r="BD40" s="958" t="s">
        <v>904</v>
      </c>
    </row>
    <row r="41" spans="1:56" ht="14.25" customHeight="1">
      <c r="A41" s="765" t="s">
        <v>1251</v>
      </c>
      <c r="B41" s="774" t="s">
        <v>1255</v>
      </c>
      <c r="C41" s="782">
        <v>5.099999999999999e-002</v>
      </c>
      <c r="D41" s="790">
        <v>4.6999999999999993e-002</v>
      </c>
      <c r="E41" s="790">
        <v>3.5999999999999997e-002</v>
      </c>
      <c r="F41" s="790">
        <v>2.9000000000000001e-002</v>
      </c>
      <c r="G41" s="801">
        <v>6.2e-002</v>
      </c>
      <c r="H41" s="801">
        <v>6.6000000000000003e-002</v>
      </c>
      <c r="I41" s="801">
        <v>5.8000000000000003e-002</v>
      </c>
      <c r="J41" s="801">
        <v>6.2e-002</v>
      </c>
      <c r="K41" s="801">
        <v>4.7e-002</v>
      </c>
      <c r="L41" s="801">
        <v>4.e-002</v>
      </c>
      <c r="M41" s="807"/>
      <c r="N41" s="802" t="s">
        <v>887</v>
      </c>
      <c r="O41" s="824" t="s">
        <v>937</v>
      </c>
      <c r="P41" s="826"/>
      <c r="Q41" s="826"/>
      <c r="R41" s="826"/>
      <c r="S41" s="826"/>
      <c r="T41" s="830" t="s">
        <v>127</v>
      </c>
      <c r="V41" s="840" t="s">
        <v>893</v>
      </c>
      <c r="W41" s="830" t="s">
        <v>1034</v>
      </c>
      <c r="Y41" s="843" t="s">
        <v>1188</v>
      </c>
      <c r="Z41" s="849">
        <v>0.15</v>
      </c>
      <c r="AA41" s="856" t="s">
        <v>375</v>
      </c>
      <c r="AB41" s="865" t="s">
        <v>885</v>
      </c>
      <c r="AC41" s="872" t="str">
        <f t="shared" si="0"/>
        <v>東京都小金井市</v>
      </c>
      <c r="AD41" s="884">
        <v>11.05</v>
      </c>
      <c r="AE41" s="865">
        <v>10.83</v>
      </c>
      <c r="AF41" s="872">
        <v>10.68</v>
      </c>
      <c r="AG41" s="883" t="s">
        <v>1256</v>
      </c>
      <c r="AH41" s="901">
        <v>0.7</v>
      </c>
      <c r="AJ41" s="44"/>
      <c r="AK41" s="44"/>
      <c r="AL41" s="44"/>
      <c r="AM41" s="44"/>
      <c r="AN41" s="44"/>
      <c r="AO41" s="766" t="s">
        <v>1256</v>
      </c>
      <c r="AP41" s="913" t="s">
        <v>932</v>
      </c>
      <c r="AQ41" s="917"/>
      <c r="AR41" s="840" t="s">
        <v>1256</v>
      </c>
      <c r="AS41" s="764" t="s">
        <v>1259</v>
      </c>
      <c r="AT41" s="925" t="s">
        <v>906</v>
      </c>
      <c r="AU41" s="929" t="s">
        <v>720</v>
      </c>
      <c r="AV41" s="932"/>
      <c r="AX41" s="840" t="s">
        <v>1256</v>
      </c>
      <c r="AY41" s="940" t="s">
        <v>1260</v>
      </c>
      <c r="AZ41" s="784" t="s">
        <v>861</v>
      </c>
      <c r="BA41" s="792" t="s">
        <v>764</v>
      </c>
      <c r="BB41" s="948" t="s">
        <v>904</v>
      </c>
      <c r="BC41" s="953"/>
      <c r="BD41" s="959"/>
    </row>
    <row r="42" spans="1:56" ht="14.25" customHeight="1">
      <c r="A42" s="766" t="s">
        <v>1256</v>
      </c>
      <c r="B42" s="775" t="s">
        <v>1262</v>
      </c>
      <c r="C42" s="780">
        <v>0.245</v>
      </c>
      <c r="D42" s="788">
        <v>0.224</v>
      </c>
      <c r="E42" s="788">
        <v>0.182</v>
      </c>
      <c r="F42" s="788">
        <v>0.14499999999999999</v>
      </c>
      <c r="G42" s="798">
        <v>0.27</v>
      </c>
      <c r="H42" s="798">
        <v>0.28699999999999998</v>
      </c>
      <c r="I42" s="798">
        <v>0.249</v>
      </c>
      <c r="J42" s="798">
        <v>0.26600000000000001</v>
      </c>
      <c r="K42" s="798">
        <v>0.20699999999999999</v>
      </c>
      <c r="L42" s="798">
        <v>0.17</v>
      </c>
      <c r="M42" s="804"/>
      <c r="N42" s="814" t="s">
        <v>887</v>
      </c>
      <c r="O42" s="822" t="s">
        <v>141</v>
      </c>
      <c r="P42" s="826"/>
      <c r="Q42" s="826"/>
      <c r="R42" s="826"/>
      <c r="S42" s="826"/>
      <c r="T42" s="830" t="s">
        <v>1264</v>
      </c>
      <c r="V42" s="840" t="s">
        <v>893</v>
      </c>
      <c r="W42" s="830" t="s">
        <v>814</v>
      </c>
      <c r="Y42" s="843" t="s">
        <v>1188</v>
      </c>
      <c r="Z42" s="849">
        <v>0.15</v>
      </c>
      <c r="AA42" s="856" t="s">
        <v>375</v>
      </c>
      <c r="AB42" s="865" t="s">
        <v>1265</v>
      </c>
      <c r="AC42" s="872" t="str">
        <f t="shared" si="0"/>
        <v>東京都小平市</v>
      </c>
      <c r="AD42" s="884">
        <v>11.05</v>
      </c>
      <c r="AE42" s="865">
        <v>10.83</v>
      </c>
      <c r="AF42" s="872">
        <v>10.68</v>
      </c>
      <c r="AG42" s="767" t="s">
        <v>1268</v>
      </c>
      <c r="AH42" s="902">
        <v>0.7</v>
      </c>
      <c r="AJ42" s="44"/>
      <c r="AK42" s="44"/>
      <c r="AL42" s="44"/>
      <c r="AM42" s="44"/>
      <c r="AN42" s="44"/>
      <c r="AO42" s="767" t="s">
        <v>1268</v>
      </c>
      <c r="AP42" s="914" t="s">
        <v>932</v>
      </c>
      <c r="AQ42" s="917"/>
      <c r="AR42" s="830" t="s">
        <v>1268</v>
      </c>
      <c r="AS42" s="764" t="s">
        <v>2450</v>
      </c>
      <c r="AT42" s="925" t="s">
        <v>906</v>
      </c>
      <c r="AU42" s="929" t="s">
        <v>720</v>
      </c>
      <c r="AV42" s="932"/>
      <c r="AX42" s="830" t="s">
        <v>1268</v>
      </c>
      <c r="AY42" s="941" t="s">
        <v>2456</v>
      </c>
      <c r="AZ42" s="785" t="s">
        <v>861</v>
      </c>
      <c r="BA42" s="793" t="s">
        <v>764</v>
      </c>
      <c r="BB42" s="929" t="s">
        <v>904</v>
      </c>
      <c r="BC42" s="823"/>
      <c r="BD42" s="960"/>
    </row>
    <row r="43" spans="1:56" ht="14.25" customHeight="1">
      <c r="A43" s="767" t="s">
        <v>1268</v>
      </c>
      <c r="B43" s="773" t="s">
        <v>807</v>
      </c>
      <c r="C43" s="781">
        <v>0.245</v>
      </c>
      <c r="D43" s="789">
        <v>0.224</v>
      </c>
      <c r="E43" s="789">
        <v>0.182</v>
      </c>
      <c r="F43" s="789">
        <v>0.14499999999999999</v>
      </c>
      <c r="G43" s="799">
        <v>0.27</v>
      </c>
      <c r="H43" s="799">
        <v>0.28699999999999998</v>
      </c>
      <c r="I43" s="799">
        <v>0.249</v>
      </c>
      <c r="J43" s="799">
        <v>0.26600000000000001</v>
      </c>
      <c r="K43" s="799">
        <v>0.20699999999999999</v>
      </c>
      <c r="L43" s="799">
        <v>0.17</v>
      </c>
      <c r="M43" s="808"/>
      <c r="N43" s="816" t="s">
        <v>887</v>
      </c>
      <c r="O43" s="823" t="s">
        <v>141</v>
      </c>
      <c r="P43" s="826"/>
      <c r="Q43" s="826"/>
      <c r="R43" s="826"/>
      <c r="S43" s="826"/>
      <c r="T43" s="830" t="s">
        <v>1273</v>
      </c>
      <c r="V43" s="840" t="s">
        <v>893</v>
      </c>
      <c r="W43" s="830" t="s">
        <v>1275</v>
      </c>
      <c r="Y43" s="843" t="s">
        <v>1188</v>
      </c>
      <c r="Z43" s="849">
        <v>0.15</v>
      </c>
      <c r="AA43" s="856" t="s">
        <v>375</v>
      </c>
      <c r="AB43" s="865" t="s">
        <v>1278</v>
      </c>
      <c r="AC43" s="872" t="str">
        <f t="shared" si="0"/>
        <v>東京都日野市</v>
      </c>
      <c r="AD43" s="884">
        <v>11.05</v>
      </c>
      <c r="AE43" s="865">
        <v>10.83</v>
      </c>
      <c r="AF43" s="872">
        <v>10.68</v>
      </c>
      <c r="AG43" s="767" t="s">
        <v>1281</v>
      </c>
      <c r="AH43" s="902">
        <v>0.7</v>
      </c>
      <c r="AJ43" s="44"/>
      <c r="AK43" s="44"/>
      <c r="AL43" s="44"/>
      <c r="AM43" s="44"/>
      <c r="AN43" s="44"/>
      <c r="AO43" s="767" t="s">
        <v>1281</v>
      </c>
      <c r="AP43" s="914" t="s">
        <v>932</v>
      </c>
      <c r="AQ43" s="917"/>
      <c r="AR43" s="830" t="s">
        <v>1281</v>
      </c>
      <c r="AS43" s="764" t="s">
        <v>2449</v>
      </c>
      <c r="AT43" s="925" t="s">
        <v>906</v>
      </c>
      <c r="AU43" s="929" t="s">
        <v>720</v>
      </c>
      <c r="AV43" s="932"/>
      <c r="AX43" s="830" t="s">
        <v>1281</v>
      </c>
      <c r="AY43" s="941" t="s">
        <v>2460</v>
      </c>
      <c r="AZ43" s="785" t="s">
        <v>861</v>
      </c>
      <c r="BA43" s="793" t="s">
        <v>764</v>
      </c>
      <c r="BB43" s="929" t="s">
        <v>904</v>
      </c>
      <c r="BC43" s="823"/>
      <c r="BD43" s="960"/>
    </row>
    <row r="44" spans="1:56" ht="14.25" customHeight="1">
      <c r="A44" s="767" t="s">
        <v>1281</v>
      </c>
      <c r="B44" s="773" t="s">
        <v>1215</v>
      </c>
      <c r="C44" s="781">
        <v>0.245</v>
      </c>
      <c r="D44" s="789">
        <v>0.224</v>
      </c>
      <c r="E44" s="789">
        <v>0.182</v>
      </c>
      <c r="F44" s="789">
        <v>0.14499999999999999</v>
      </c>
      <c r="G44" s="799">
        <v>0.27</v>
      </c>
      <c r="H44" s="799">
        <v>0.28699999999999998</v>
      </c>
      <c r="I44" s="799">
        <v>0.249</v>
      </c>
      <c r="J44" s="799">
        <v>0.26600000000000001</v>
      </c>
      <c r="K44" s="799">
        <v>0.20699999999999999</v>
      </c>
      <c r="L44" s="799">
        <v>0.17</v>
      </c>
      <c r="M44" s="808"/>
      <c r="N44" s="816" t="s">
        <v>887</v>
      </c>
      <c r="O44" s="823" t="s">
        <v>141</v>
      </c>
      <c r="P44" s="826"/>
      <c r="Q44" s="826"/>
      <c r="R44" s="826"/>
      <c r="S44" s="826"/>
      <c r="T44" s="830" t="s">
        <v>128</v>
      </c>
      <c r="V44" s="840" t="s">
        <v>893</v>
      </c>
      <c r="W44" s="830" t="s">
        <v>1282</v>
      </c>
      <c r="Y44" s="843" t="s">
        <v>1188</v>
      </c>
      <c r="Z44" s="849">
        <v>0.15</v>
      </c>
      <c r="AA44" s="856" t="s">
        <v>375</v>
      </c>
      <c r="AB44" s="865" t="s">
        <v>856</v>
      </c>
      <c r="AC44" s="872" t="str">
        <f t="shared" si="0"/>
        <v>東京都東村山市</v>
      </c>
      <c r="AD44" s="884">
        <v>11.05</v>
      </c>
      <c r="AE44" s="865">
        <v>10.83</v>
      </c>
      <c r="AF44" s="872">
        <v>10.68</v>
      </c>
      <c r="AG44" s="767" t="s">
        <v>1283</v>
      </c>
      <c r="AH44" s="849">
        <v>0.45</v>
      </c>
      <c r="AJ44" s="44"/>
      <c r="AK44" s="44"/>
      <c r="AL44" s="44"/>
      <c r="AM44" s="44"/>
      <c r="AN44" s="44"/>
      <c r="AO44" s="767" t="s">
        <v>1283</v>
      </c>
      <c r="AP44" s="914" t="s">
        <v>932</v>
      </c>
      <c r="AQ44" s="917"/>
      <c r="AR44" s="830" t="s">
        <v>1283</v>
      </c>
      <c r="AS44" s="764" t="s">
        <v>2448</v>
      </c>
      <c r="AT44" s="924" t="s">
        <v>525</v>
      </c>
      <c r="AU44" s="929" t="s">
        <v>1284</v>
      </c>
      <c r="AV44" s="812" t="s">
        <v>450</v>
      </c>
      <c r="AX44" s="830" t="s">
        <v>1283</v>
      </c>
      <c r="AY44" s="941" t="s">
        <v>2459</v>
      </c>
      <c r="AZ44" s="784" t="s">
        <v>861</v>
      </c>
      <c r="BA44" s="792" t="s">
        <v>764</v>
      </c>
      <c r="BB44" s="948" t="s">
        <v>904</v>
      </c>
      <c r="BC44" s="953"/>
      <c r="BD44" s="959"/>
    </row>
    <row r="45" spans="1:56" ht="14.25" customHeight="1">
      <c r="A45" s="767" t="s">
        <v>1283</v>
      </c>
      <c r="B45" s="773" t="s">
        <v>1289</v>
      </c>
      <c r="C45" s="781">
        <v>9.1999999999999985e-002</v>
      </c>
      <c r="D45" s="789">
        <v>8.9999999999999983e-002</v>
      </c>
      <c r="E45" s="789">
        <v>7.9999999999999988e-002</v>
      </c>
      <c r="F45" s="789">
        <v>6.3999999999999987e-002</v>
      </c>
      <c r="G45" s="799">
        <v>0.111</v>
      </c>
      <c r="H45" s="799">
        <v>0.12</v>
      </c>
      <c r="I45" s="799">
        <v>0.109</v>
      </c>
      <c r="J45" s="799">
        <v>0.11799999999999999</v>
      </c>
      <c r="K45" s="799">
        <v>9.9000000000000005e-002</v>
      </c>
      <c r="L45" s="799">
        <v>8.3000000000000004e-002</v>
      </c>
      <c r="M45" s="809"/>
      <c r="N45" s="817" t="s">
        <v>887</v>
      </c>
      <c r="O45" s="823" t="s">
        <v>141</v>
      </c>
      <c r="P45" s="826"/>
      <c r="Q45" s="826"/>
      <c r="R45" s="826"/>
      <c r="S45" s="826"/>
      <c r="T45" s="830" t="s">
        <v>1291</v>
      </c>
      <c r="V45" s="840" t="s">
        <v>893</v>
      </c>
      <c r="W45" s="830" t="s">
        <v>1293</v>
      </c>
      <c r="Y45" s="843" t="s">
        <v>1188</v>
      </c>
      <c r="Z45" s="849">
        <v>0.15</v>
      </c>
      <c r="AA45" s="856" t="s">
        <v>375</v>
      </c>
      <c r="AB45" s="865" t="s">
        <v>1290</v>
      </c>
      <c r="AC45" s="872" t="str">
        <f t="shared" si="0"/>
        <v>東京都国分寺市</v>
      </c>
      <c r="AD45" s="884">
        <v>11.05</v>
      </c>
      <c r="AE45" s="865">
        <v>10.83</v>
      </c>
      <c r="AF45" s="872">
        <v>10.68</v>
      </c>
      <c r="AG45" s="767" t="s">
        <v>1296</v>
      </c>
      <c r="AH45" s="849">
        <v>0.45</v>
      </c>
      <c r="AJ45" s="44"/>
      <c r="AK45" s="44"/>
      <c r="AL45" s="44"/>
      <c r="AM45" s="44"/>
      <c r="AN45" s="44"/>
      <c r="AO45" s="767" t="s">
        <v>1296</v>
      </c>
      <c r="AP45" s="914" t="s">
        <v>932</v>
      </c>
      <c r="AQ45" s="917"/>
      <c r="AR45" s="830" t="s">
        <v>1296</v>
      </c>
      <c r="AS45" s="764" t="s">
        <v>1710</v>
      </c>
      <c r="AT45" s="924" t="s">
        <v>525</v>
      </c>
      <c r="AU45" s="929" t="s">
        <v>1284</v>
      </c>
      <c r="AV45" s="812" t="s">
        <v>450</v>
      </c>
      <c r="AX45" s="830" t="s">
        <v>1296</v>
      </c>
      <c r="AY45" s="941" t="s">
        <v>2458</v>
      </c>
      <c r="AZ45" s="785" t="s">
        <v>861</v>
      </c>
      <c r="BA45" s="793" t="s">
        <v>764</v>
      </c>
      <c r="BB45" s="929" t="s">
        <v>904</v>
      </c>
      <c r="BC45" s="823"/>
      <c r="BD45" s="960"/>
    </row>
    <row r="46" spans="1:56" ht="14.25" customHeight="1">
      <c r="A46" s="767" t="s">
        <v>1296</v>
      </c>
      <c r="B46" s="773" t="s">
        <v>1300</v>
      </c>
      <c r="C46" s="781">
        <v>9.1999999999999985e-002</v>
      </c>
      <c r="D46" s="789">
        <v>8.9999999999999983e-002</v>
      </c>
      <c r="E46" s="789">
        <v>7.9999999999999988e-002</v>
      </c>
      <c r="F46" s="789">
        <v>6.3999999999999987e-002</v>
      </c>
      <c r="G46" s="799">
        <v>0.111</v>
      </c>
      <c r="H46" s="799">
        <v>0.12</v>
      </c>
      <c r="I46" s="799">
        <v>0.109</v>
      </c>
      <c r="J46" s="799">
        <v>0.11799999999999999</v>
      </c>
      <c r="K46" s="799">
        <v>9.9000000000000005e-002</v>
      </c>
      <c r="L46" s="799">
        <v>8.3000000000000004e-002</v>
      </c>
      <c r="M46" s="809"/>
      <c r="N46" s="817" t="s">
        <v>887</v>
      </c>
      <c r="O46" s="823" t="s">
        <v>141</v>
      </c>
      <c r="P46" s="826"/>
      <c r="Q46" s="826"/>
      <c r="R46" s="826"/>
      <c r="S46" s="826"/>
      <c r="T46" s="830" t="s">
        <v>1302</v>
      </c>
      <c r="V46" s="840" t="s">
        <v>893</v>
      </c>
      <c r="W46" s="830" t="s">
        <v>1304</v>
      </c>
      <c r="Y46" s="843" t="s">
        <v>1188</v>
      </c>
      <c r="Z46" s="849">
        <v>0.15</v>
      </c>
      <c r="AA46" s="856" t="s">
        <v>375</v>
      </c>
      <c r="AB46" s="865" t="s">
        <v>1306</v>
      </c>
      <c r="AC46" s="872" t="str">
        <f t="shared" si="0"/>
        <v>東京都国立市</v>
      </c>
      <c r="AD46" s="884">
        <v>11.05</v>
      </c>
      <c r="AE46" s="865">
        <v>10.83</v>
      </c>
      <c r="AF46" s="872">
        <v>10.68</v>
      </c>
      <c r="AG46" s="767" t="s">
        <v>1308</v>
      </c>
      <c r="AH46" s="849">
        <v>0.45</v>
      </c>
      <c r="AJ46" s="44"/>
      <c r="AK46" s="44"/>
      <c r="AL46" s="44"/>
      <c r="AM46" s="44"/>
      <c r="AN46" s="44"/>
      <c r="AO46" s="767" t="s">
        <v>1308</v>
      </c>
      <c r="AP46" s="916" t="s">
        <v>932</v>
      </c>
      <c r="AQ46" s="917"/>
      <c r="AR46" s="830" t="s">
        <v>1308</v>
      </c>
      <c r="AS46" s="762" t="s">
        <v>732</v>
      </c>
      <c r="AT46" s="924" t="s">
        <v>525</v>
      </c>
      <c r="AU46" s="929" t="s">
        <v>1284</v>
      </c>
      <c r="AV46" s="812" t="s">
        <v>450</v>
      </c>
      <c r="AX46" s="830" t="s">
        <v>1308</v>
      </c>
      <c r="AY46" s="941" t="s">
        <v>2457</v>
      </c>
      <c r="AZ46" s="785" t="s">
        <v>861</v>
      </c>
      <c r="BA46" s="793" t="s">
        <v>764</v>
      </c>
      <c r="BB46" s="929" t="s">
        <v>904</v>
      </c>
      <c r="BC46" s="823"/>
      <c r="BD46" s="960"/>
    </row>
    <row r="47" spans="1:56" ht="14.25" customHeight="1">
      <c r="A47" s="767" t="s">
        <v>1308</v>
      </c>
      <c r="B47" s="773" t="s">
        <v>662</v>
      </c>
      <c r="C47" s="781">
        <v>9.1999999999999985e-002</v>
      </c>
      <c r="D47" s="789">
        <v>8.9999999999999983e-002</v>
      </c>
      <c r="E47" s="789">
        <v>7.9999999999999988e-002</v>
      </c>
      <c r="F47" s="789">
        <v>6.3999999999999987e-002</v>
      </c>
      <c r="G47" s="799">
        <v>0.111</v>
      </c>
      <c r="H47" s="799">
        <v>0.12</v>
      </c>
      <c r="I47" s="799">
        <v>0.109</v>
      </c>
      <c r="J47" s="799">
        <v>0.11799999999999999</v>
      </c>
      <c r="K47" s="799">
        <v>9.9000000000000005e-002</v>
      </c>
      <c r="L47" s="799">
        <v>8.3000000000000004e-002</v>
      </c>
      <c r="M47" s="805"/>
      <c r="N47" s="815" t="s">
        <v>887</v>
      </c>
      <c r="O47" s="823" t="s">
        <v>141</v>
      </c>
      <c r="P47" s="826"/>
      <c r="Q47" s="826"/>
      <c r="R47" s="826"/>
      <c r="S47" s="826"/>
      <c r="T47" s="830" t="s">
        <v>1149</v>
      </c>
      <c r="V47" s="840" t="s">
        <v>893</v>
      </c>
      <c r="W47" s="830" t="s">
        <v>1309</v>
      </c>
      <c r="Y47" s="843" t="s">
        <v>1188</v>
      </c>
      <c r="Z47" s="849">
        <v>0.15</v>
      </c>
      <c r="AA47" s="856" t="s">
        <v>375</v>
      </c>
      <c r="AB47" s="865" t="s">
        <v>1310</v>
      </c>
      <c r="AC47" s="872" t="str">
        <f t="shared" si="0"/>
        <v>東京都清瀬市</v>
      </c>
      <c r="AD47" s="884">
        <v>11.05</v>
      </c>
      <c r="AE47" s="865">
        <v>10.83</v>
      </c>
      <c r="AF47" s="872">
        <v>10.68</v>
      </c>
      <c r="AG47" s="767" t="s">
        <v>1313</v>
      </c>
      <c r="AH47" s="849">
        <v>0.45</v>
      </c>
      <c r="AJ47" s="44"/>
      <c r="AK47" s="44"/>
      <c r="AL47" s="44"/>
      <c r="AM47" s="44"/>
      <c r="AN47" s="44"/>
      <c r="AO47" s="767" t="s">
        <v>1313</v>
      </c>
      <c r="AP47" s="914" t="s">
        <v>932</v>
      </c>
      <c r="AQ47" s="128"/>
      <c r="AR47" s="830" t="s">
        <v>1313</v>
      </c>
      <c r="AS47" s="764" t="s">
        <v>343</v>
      </c>
      <c r="AT47" s="923" t="s">
        <v>525</v>
      </c>
      <c r="AU47" s="928" t="s">
        <v>1284</v>
      </c>
      <c r="AV47" s="933" t="s">
        <v>450</v>
      </c>
      <c r="AX47" s="830" t="s">
        <v>1313</v>
      </c>
      <c r="AY47" s="941" t="s">
        <v>1960</v>
      </c>
      <c r="AZ47" s="785" t="s">
        <v>861</v>
      </c>
      <c r="BA47" s="793" t="s">
        <v>892</v>
      </c>
      <c r="BB47" s="929" t="s">
        <v>904</v>
      </c>
      <c r="BC47" s="823"/>
      <c r="BD47" s="960"/>
    </row>
    <row r="48" spans="1:56" ht="14.25" customHeight="1">
      <c r="A48" s="767" t="s">
        <v>1313</v>
      </c>
      <c r="B48" s="773" t="s">
        <v>1289</v>
      </c>
      <c r="C48" s="781">
        <v>9.1999999999999985e-002</v>
      </c>
      <c r="D48" s="789">
        <v>8.9999999999999983e-002</v>
      </c>
      <c r="E48" s="789">
        <v>7.9999999999999988e-002</v>
      </c>
      <c r="F48" s="789">
        <v>6.3999999999999987e-002</v>
      </c>
      <c r="G48" s="799">
        <v>0.11700000000000001</v>
      </c>
      <c r="H48" s="799">
        <v>0.127</v>
      </c>
      <c r="I48" s="799">
        <v>0.115</v>
      </c>
      <c r="J48" s="799">
        <v>0.125</v>
      </c>
      <c r="K48" s="799">
        <v>0.105</v>
      </c>
      <c r="L48" s="799">
        <v>8.8999999999999996e-002</v>
      </c>
      <c r="M48" s="809"/>
      <c r="N48" s="817" t="s">
        <v>887</v>
      </c>
      <c r="O48" s="823" t="s">
        <v>141</v>
      </c>
      <c r="P48" s="826"/>
      <c r="Q48" s="826"/>
      <c r="R48" s="826"/>
      <c r="S48" s="826"/>
      <c r="T48" s="830" t="s">
        <v>174</v>
      </c>
      <c r="V48" s="840" t="s">
        <v>893</v>
      </c>
      <c r="W48" s="830" t="s">
        <v>269</v>
      </c>
      <c r="Y48" s="843" t="s">
        <v>1188</v>
      </c>
      <c r="Z48" s="849">
        <v>0.15</v>
      </c>
      <c r="AA48" s="856" t="s">
        <v>375</v>
      </c>
      <c r="AB48" s="865" t="s">
        <v>488</v>
      </c>
      <c r="AC48" s="872" t="str">
        <f t="shared" si="0"/>
        <v>東京都東久留米市</v>
      </c>
      <c r="AD48" s="884">
        <v>11.05</v>
      </c>
      <c r="AE48" s="865">
        <v>10.83</v>
      </c>
      <c r="AF48" s="872">
        <v>10.68</v>
      </c>
      <c r="AG48" s="767" t="s">
        <v>999</v>
      </c>
      <c r="AH48" s="849">
        <v>0.45</v>
      </c>
      <c r="AJ48" s="44"/>
      <c r="AK48" s="44"/>
      <c r="AL48" s="44"/>
      <c r="AM48" s="44"/>
      <c r="AN48" s="44"/>
      <c r="AO48" s="767" t="s">
        <v>999</v>
      </c>
      <c r="AP48" s="914" t="s">
        <v>932</v>
      </c>
      <c r="AQ48" s="128"/>
      <c r="AR48" s="830" t="s">
        <v>999</v>
      </c>
      <c r="AS48" s="764" t="s">
        <v>2447</v>
      </c>
      <c r="AT48" s="924" t="s">
        <v>525</v>
      </c>
      <c r="AU48" s="929" t="s">
        <v>1284</v>
      </c>
      <c r="AV48" s="812" t="s">
        <v>450</v>
      </c>
      <c r="AX48" s="830" t="s">
        <v>999</v>
      </c>
      <c r="AY48" s="941" t="s">
        <v>1754</v>
      </c>
      <c r="AZ48" s="785" t="s">
        <v>861</v>
      </c>
      <c r="BA48" s="793" t="s">
        <v>892</v>
      </c>
      <c r="BB48" s="929" t="s">
        <v>904</v>
      </c>
      <c r="BC48" s="823"/>
      <c r="BD48" s="960"/>
    </row>
    <row r="49" spans="1:56" ht="14.25" customHeight="1">
      <c r="A49" s="767" t="s">
        <v>999</v>
      </c>
      <c r="B49" s="773" t="s">
        <v>1300</v>
      </c>
      <c r="C49" s="781">
        <v>9.1999999999999985e-002</v>
      </c>
      <c r="D49" s="789">
        <v>8.9999999999999983e-002</v>
      </c>
      <c r="E49" s="789">
        <v>7.9999999999999988e-002</v>
      </c>
      <c r="F49" s="789">
        <v>6.3999999999999987e-002</v>
      </c>
      <c r="G49" s="799">
        <v>0.11700000000000001</v>
      </c>
      <c r="H49" s="799">
        <v>0.127</v>
      </c>
      <c r="I49" s="799">
        <v>0.115</v>
      </c>
      <c r="J49" s="799">
        <v>0.125</v>
      </c>
      <c r="K49" s="799">
        <v>0.105</v>
      </c>
      <c r="L49" s="799">
        <v>8.8999999999999996e-002</v>
      </c>
      <c r="M49" s="809"/>
      <c r="N49" s="817" t="s">
        <v>887</v>
      </c>
      <c r="O49" s="823" t="s">
        <v>141</v>
      </c>
      <c r="P49" s="826"/>
      <c r="Q49" s="826"/>
      <c r="R49" s="826"/>
      <c r="S49" s="826"/>
      <c r="T49" s="832" t="s">
        <v>57</v>
      </c>
      <c r="V49" s="840" t="s">
        <v>893</v>
      </c>
      <c r="W49" s="830" t="s">
        <v>1318</v>
      </c>
      <c r="Y49" s="843" t="s">
        <v>1188</v>
      </c>
      <c r="Z49" s="849">
        <v>0.15</v>
      </c>
      <c r="AA49" s="856" t="s">
        <v>375</v>
      </c>
      <c r="AB49" s="865" t="s">
        <v>222</v>
      </c>
      <c r="AC49" s="872" t="str">
        <f t="shared" si="0"/>
        <v>東京都稲城市</v>
      </c>
      <c r="AD49" s="884">
        <v>11.05</v>
      </c>
      <c r="AE49" s="865">
        <v>10.83</v>
      </c>
      <c r="AF49" s="872">
        <v>10.68</v>
      </c>
      <c r="AG49" s="767" t="s">
        <v>492</v>
      </c>
      <c r="AH49" s="849">
        <v>0.45</v>
      </c>
      <c r="AJ49" s="44"/>
      <c r="AK49" s="44"/>
      <c r="AL49" s="44"/>
      <c r="AM49" s="44"/>
      <c r="AN49" s="44"/>
      <c r="AO49" s="911" t="s">
        <v>492</v>
      </c>
      <c r="AP49" s="916" t="s">
        <v>932</v>
      </c>
      <c r="AQ49" s="128"/>
      <c r="AR49" s="832" t="s">
        <v>492</v>
      </c>
      <c r="AS49" s="777" t="s">
        <v>2446</v>
      </c>
      <c r="AT49" s="926" t="s">
        <v>525</v>
      </c>
      <c r="AU49" s="930" t="s">
        <v>1284</v>
      </c>
      <c r="AV49" s="810" t="s">
        <v>450</v>
      </c>
      <c r="AX49" s="830" t="s">
        <v>492</v>
      </c>
      <c r="AY49" s="941" t="s">
        <v>2455</v>
      </c>
      <c r="AZ49" s="785" t="s">
        <v>861</v>
      </c>
      <c r="BA49" s="793" t="s">
        <v>892</v>
      </c>
      <c r="BB49" s="929" t="s">
        <v>904</v>
      </c>
      <c r="BC49" s="823"/>
      <c r="BD49" s="960"/>
    </row>
    <row r="50" spans="1:56" ht="14.25" customHeight="1">
      <c r="A50" s="767" t="s">
        <v>492</v>
      </c>
      <c r="B50" s="773" t="s">
        <v>662</v>
      </c>
      <c r="C50" s="781">
        <v>9.1999999999999985e-002</v>
      </c>
      <c r="D50" s="789">
        <v>8.9999999999999983e-002</v>
      </c>
      <c r="E50" s="789">
        <v>7.9999999999999988e-002</v>
      </c>
      <c r="F50" s="789">
        <v>6.3999999999999987e-002</v>
      </c>
      <c r="G50" s="799">
        <v>0.11700000000000001</v>
      </c>
      <c r="H50" s="799">
        <v>0.127</v>
      </c>
      <c r="I50" s="799">
        <v>0.115</v>
      </c>
      <c r="J50" s="799">
        <v>0.125</v>
      </c>
      <c r="K50" s="799">
        <v>0.105</v>
      </c>
      <c r="L50" s="799">
        <v>8.8999999999999996e-002</v>
      </c>
      <c r="M50" s="805"/>
      <c r="N50" s="815" t="s">
        <v>887</v>
      </c>
      <c r="O50" s="823" t="s">
        <v>141</v>
      </c>
      <c r="P50" s="826"/>
      <c r="Q50" s="826"/>
      <c r="R50" s="826"/>
      <c r="S50" s="826"/>
      <c r="T50" s="128"/>
      <c r="V50" s="840" t="s">
        <v>893</v>
      </c>
      <c r="W50" s="830" t="s">
        <v>905</v>
      </c>
      <c r="Y50" s="843" t="s">
        <v>1188</v>
      </c>
      <c r="Z50" s="849">
        <v>0.15</v>
      </c>
      <c r="AA50" s="856" t="s">
        <v>375</v>
      </c>
      <c r="AB50" s="865" t="s">
        <v>1321</v>
      </c>
      <c r="AC50" s="872" t="str">
        <f t="shared" si="0"/>
        <v>東京都西東京市</v>
      </c>
      <c r="AD50" s="884">
        <v>11.05</v>
      </c>
      <c r="AE50" s="865">
        <v>10.83</v>
      </c>
      <c r="AF50" s="872">
        <v>10.68</v>
      </c>
      <c r="AG50" s="846" t="s">
        <v>1311</v>
      </c>
      <c r="AH50" s="852">
        <v>0.7</v>
      </c>
      <c r="AJ50" s="44"/>
      <c r="AK50" s="44"/>
      <c r="AL50" s="44"/>
      <c r="AM50" s="44"/>
      <c r="AN50" s="44"/>
      <c r="AO50" s="128"/>
      <c r="AP50" s="128"/>
      <c r="AQ50" s="128"/>
      <c r="AR50" s="37"/>
      <c r="AS50" s="37"/>
      <c r="AT50" s="128"/>
      <c r="AU50" s="128"/>
      <c r="AV50" s="128"/>
      <c r="AX50" s="935" t="s">
        <v>1311</v>
      </c>
      <c r="AY50" s="942" t="str">
        <f t="shared" ref="AY50:AY56" si="1">AX50&amp;"R8"</f>
        <v>介護予防ケアマネジメントR8</v>
      </c>
      <c r="AZ50" s="791" t="s">
        <v>861</v>
      </c>
      <c r="BA50" s="946" t="s">
        <v>764</v>
      </c>
      <c r="BB50" s="946" t="s">
        <v>1339</v>
      </c>
      <c r="BC50" s="832" t="s">
        <v>511</v>
      </c>
      <c r="BD50" s="961"/>
    </row>
    <row r="51" spans="1:56" ht="14.25" customHeight="1">
      <c r="A51" s="768" t="s">
        <v>1311</v>
      </c>
      <c r="B51" s="776" t="s">
        <v>471</v>
      </c>
      <c r="C51" s="783">
        <v>0</v>
      </c>
      <c r="D51" s="791">
        <v>0</v>
      </c>
      <c r="E51" s="791">
        <v>0</v>
      </c>
      <c r="F51" s="791">
        <v>0</v>
      </c>
      <c r="G51" s="794"/>
      <c r="H51" s="794"/>
      <c r="I51" s="794"/>
      <c r="J51" s="794"/>
      <c r="K51" s="794"/>
      <c r="L51" s="794"/>
      <c r="M51" s="810">
        <v>2.1000000000000001e-002</v>
      </c>
      <c r="N51" s="818" t="s">
        <v>1322</v>
      </c>
      <c r="O51" s="825" t="s">
        <v>141</v>
      </c>
      <c r="P51" s="826"/>
      <c r="Q51" s="826"/>
      <c r="R51" s="826"/>
      <c r="S51" s="826"/>
      <c r="T51" s="128"/>
      <c r="V51" s="840" t="s">
        <v>893</v>
      </c>
      <c r="W51" s="830" t="s">
        <v>1270</v>
      </c>
      <c r="Y51" s="843" t="s">
        <v>1188</v>
      </c>
      <c r="Z51" s="849">
        <v>0.15</v>
      </c>
      <c r="AA51" s="856" t="s">
        <v>1165</v>
      </c>
      <c r="AB51" s="865" t="s">
        <v>391</v>
      </c>
      <c r="AC51" s="872" t="str">
        <f t="shared" si="0"/>
        <v>神奈川県鎌倉市</v>
      </c>
      <c r="AD51" s="884">
        <v>11.05</v>
      </c>
      <c r="AE51" s="865">
        <v>10.83</v>
      </c>
      <c r="AF51" s="872">
        <v>10.68</v>
      </c>
      <c r="AG51" s="883" t="s">
        <v>1317</v>
      </c>
      <c r="AH51" s="848">
        <v>0.7</v>
      </c>
      <c r="AJ51" s="44"/>
      <c r="AK51" s="44"/>
      <c r="AL51" s="44"/>
      <c r="AM51" s="44"/>
      <c r="AN51" s="44"/>
      <c r="AO51" s="128"/>
      <c r="AP51" s="128"/>
      <c r="AQ51" s="128"/>
      <c r="AR51" s="37" t="s">
        <v>557</v>
      </c>
      <c r="AS51" s="37"/>
      <c r="AT51" s="37"/>
      <c r="AU51" s="37"/>
      <c r="AV51" s="128"/>
      <c r="AX51" s="840" t="s">
        <v>1317</v>
      </c>
      <c r="AY51" s="941" t="str">
        <f t="shared" si="1"/>
        <v>訪問看護R8</v>
      </c>
      <c r="AZ51" s="945" t="s">
        <v>861</v>
      </c>
      <c r="BA51" s="928" t="s">
        <v>764</v>
      </c>
      <c r="BB51" s="928" t="s">
        <v>1339</v>
      </c>
      <c r="BC51" s="829" t="s">
        <v>511</v>
      </c>
      <c r="BD51" s="962"/>
    </row>
    <row r="52" spans="1:56" ht="14.25" customHeight="1">
      <c r="A52" s="766" t="s">
        <v>1317</v>
      </c>
      <c r="B52" s="761">
        <v>13</v>
      </c>
      <c r="C52" s="784">
        <v>0</v>
      </c>
      <c r="D52" s="792">
        <v>0</v>
      </c>
      <c r="E52" s="792">
        <v>0</v>
      </c>
      <c r="F52" s="792">
        <v>0</v>
      </c>
      <c r="G52" s="792"/>
      <c r="H52" s="792"/>
      <c r="I52" s="792"/>
      <c r="J52" s="792"/>
      <c r="K52" s="792"/>
      <c r="L52" s="792"/>
      <c r="M52" s="811">
        <v>1.7999999999999999e-002</v>
      </c>
      <c r="N52" s="814" t="s">
        <v>891</v>
      </c>
      <c r="O52" s="822" t="s">
        <v>366</v>
      </c>
      <c r="P52" s="826"/>
      <c r="Q52" s="826"/>
      <c r="R52" s="826"/>
      <c r="S52" s="826"/>
      <c r="T52" s="128"/>
      <c r="V52" s="840" t="s">
        <v>893</v>
      </c>
      <c r="W52" s="830" t="s">
        <v>1331</v>
      </c>
      <c r="Y52" s="843" t="s">
        <v>1188</v>
      </c>
      <c r="Z52" s="849">
        <v>0.15</v>
      </c>
      <c r="AA52" s="856" t="s">
        <v>1165</v>
      </c>
      <c r="AB52" s="865" t="s">
        <v>105</v>
      </c>
      <c r="AC52" s="872" t="str">
        <f t="shared" si="0"/>
        <v>神奈川県厚木市</v>
      </c>
      <c r="AD52" s="884">
        <v>11.05</v>
      </c>
      <c r="AE52" s="865">
        <v>10.83</v>
      </c>
      <c r="AF52" s="872">
        <v>10.68</v>
      </c>
      <c r="AG52" s="884" t="s">
        <v>1286</v>
      </c>
      <c r="AH52" s="849">
        <v>0.7</v>
      </c>
      <c r="AJ52" s="44"/>
      <c r="AK52" s="44"/>
      <c r="AL52" s="44"/>
      <c r="AM52" s="44"/>
      <c r="AN52" s="44"/>
      <c r="AO52" s="128"/>
      <c r="AP52" s="128"/>
      <c r="AQ52" s="128"/>
      <c r="AR52" s="920" t="s">
        <v>933</v>
      </c>
      <c r="AS52" s="920"/>
      <c r="AT52" s="920"/>
      <c r="AU52" s="920"/>
      <c r="AV52" s="128"/>
      <c r="AX52" s="830" t="s">
        <v>1286</v>
      </c>
      <c r="AY52" s="943" t="str">
        <f t="shared" si="1"/>
        <v>介護予防訪問看護R8</v>
      </c>
      <c r="AZ52" s="793" t="s">
        <v>861</v>
      </c>
      <c r="BA52" s="929" t="s">
        <v>764</v>
      </c>
      <c r="BB52" s="928" t="s">
        <v>1339</v>
      </c>
      <c r="BC52" s="830" t="s">
        <v>511</v>
      </c>
      <c r="BD52" s="963"/>
    </row>
    <row r="53" spans="1:56" ht="14.25" customHeight="1">
      <c r="A53" s="767" t="s">
        <v>1286</v>
      </c>
      <c r="B53" s="762">
        <v>63</v>
      </c>
      <c r="C53" s="785">
        <v>0</v>
      </c>
      <c r="D53" s="793">
        <v>0</v>
      </c>
      <c r="E53" s="793">
        <v>0</v>
      </c>
      <c r="F53" s="793">
        <v>0</v>
      </c>
      <c r="G53" s="793"/>
      <c r="H53" s="793"/>
      <c r="I53" s="793"/>
      <c r="J53" s="793"/>
      <c r="K53" s="793"/>
      <c r="L53" s="793"/>
      <c r="M53" s="812">
        <v>1.7999999999999999e-002</v>
      </c>
      <c r="N53" s="815" t="s">
        <v>891</v>
      </c>
      <c r="O53" s="823" t="s">
        <v>937</v>
      </c>
      <c r="P53" s="826"/>
      <c r="Q53" s="826"/>
      <c r="R53" s="826"/>
      <c r="S53" s="826"/>
      <c r="T53" s="128"/>
      <c r="V53" s="840" t="s">
        <v>893</v>
      </c>
      <c r="W53" s="830" t="s">
        <v>1335</v>
      </c>
      <c r="Y53" s="843" t="s">
        <v>1188</v>
      </c>
      <c r="Z53" s="849">
        <v>0.15</v>
      </c>
      <c r="AA53" s="856" t="s">
        <v>1336</v>
      </c>
      <c r="AB53" s="865" t="s">
        <v>1280</v>
      </c>
      <c r="AC53" s="872" t="str">
        <f t="shared" si="0"/>
        <v>愛知県名古屋市</v>
      </c>
      <c r="AD53" s="884">
        <v>11.05</v>
      </c>
      <c r="AE53" s="865">
        <v>10.83</v>
      </c>
      <c r="AF53" s="875">
        <v>10.68</v>
      </c>
      <c r="AG53" s="898" t="s">
        <v>851</v>
      </c>
      <c r="AH53" s="849">
        <v>0.55000000000000004</v>
      </c>
      <c r="AJ53" s="44"/>
      <c r="AK53" s="44"/>
      <c r="AL53" s="44"/>
      <c r="AM53" s="44"/>
      <c r="AN53" s="44"/>
      <c r="AO53" s="128"/>
      <c r="AP53" s="128"/>
      <c r="AR53" s="920"/>
      <c r="AS53" s="920"/>
      <c r="AT53" s="920"/>
      <c r="AU53" s="920"/>
      <c r="AV53" s="128"/>
      <c r="AX53" s="763" t="s">
        <v>851</v>
      </c>
      <c r="AY53" s="943" t="str">
        <f t="shared" si="1"/>
        <v>訪問リハビリテーションR8</v>
      </c>
      <c r="AZ53" s="793" t="s">
        <v>861</v>
      </c>
      <c r="BA53" s="929" t="s">
        <v>764</v>
      </c>
      <c r="BB53" s="928" t="s">
        <v>1339</v>
      </c>
      <c r="BC53" s="830" t="s">
        <v>511</v>
      </c>
      <c r="BD53" s="963"/>
    </row>
    <row r="54" spans="1:56" ht="14.25" customHeight="1">
      <c r="A54" s="762" t="s">
        <v>851</v>
      </c>
      <c r="B54" s="762">
        <v>14</v>
      </c>
      <c r="C54" s="785">
        <v>0</v>
      </c>
      <c r="D54" s="793">
        <v>0</v>
      </c>
      <c r="E54" s="793">
        <v>0</v>
      </c>
      <c r="F54" s="793">
        <v>0</v>
      </c>
      <c r="G54" s="793"/>
      <c r="H54" s="793"/>
      <c r="I54" s="793"/>
      <c r="J54" s="793"/>
      <c r="K54" s="793"/>
      <c r="L54" s="793"/>
      <c r="M54" s="812">
        <v>1.4999999999999999e-002</v>
      </c>
      <c r="N54" s="815" t="s">
        <v>1322</v>
      </c>
      <c r="O54" s="823" t="s">
        <v>366</v>
      </c>
      <c r="P54" s="826"/>
      <c r="Q54" s="826"/>
      <c r="R54" s="826"/>
      <c r="S54" s="826"/>
      <c r="T54" s="128"/>
      <c r="V54" s="840" t="s">
        <v>893</v>
      </c>
      <c r="W54" s="830" t="s">
        <v>982</v>
      </c>
      <c r="Y54" s="843" t="s">
        <v>1188</v>
      </c>
      <c r="Z54" s="849">
        <v>0.15</v>
      </c>
      <c r="AA54" s="856" t="s">
        <v>1336</v>
      </c>
      <c r="AB54" s="865" t="s">
        <v>818</v>
      </c>
      <c r="AC54" s="872" t="str">
        <f t="shared" si="0"/>
        <v>愛知県刈谷市</v>
      </c>
      <c r="AD54" s="884">
        <v>11.05</v>
      </c>
      <c r="AE54" s="865">
        <v>10.83</v>
      </c>
      <c r="AF54" s="875">
        <v>10.68</v>
      </c>
      <c r="AG54" s="898" t="s">
        <v>1325</v>
      </c>
      <c r="AH54" s="849">
        <v>0.55000000000000004</v>
      </c>
      <c r="AJ54" s="44"/>
      <c r="AK54" s="44"/>
      <c r="AL54" s="44"/>
      <c r="AM54" s="44"/>
      <c r="AN54" s="44"/>
      <c r="AO54" s="128"/>
      <c r="AP54" s="128"/>
      <c r="AX54" s="763" t="s">
        <v>1325</v>
      </c>
      <c r="AY54" s="943" t="str">
        <f t="shared" si="1"/>
        <v>介護予防訪問リハビリテーションR8</v>
      </c>
      <c r="AZ54" s="793" t="s">
        <v>861</v>
      </c>
      <c r="BA54" s="929" t="s">
        <v>764</v>
      </c>
      <c r="BB54" s="928" t="s">
        <v>1339</v>
      </c>
      <c r="BC54" s="830" t="s">
        <v>511</v>
      </c>
      <c r="BD54" s="963"/>
    </row>
    <row r="55" spans="1:56" ht="14.25" customHeight="1">
      <c r="A55" s="762" t="s">
        <v>1325</v>
      </c>
      <c r="B55" s="762">
        <v>64</v>
      </c>
      <c r="C55" s="785">
        <v>0</v>
      </c>
      <c r="D55" s="793">
        <v>0</v>
      </c>
      <c r="E55" s="793">
        <v>0</v>
      </c>
      <c r="F55" s="793">
        <v>0</v>
      </c>
      <c r="G55" s="793"/>
      <c r="H55" s="793"/>
      <c r="I55" s="793"/>
      <c r="J55" s="793"/>
      <c r="K55" s="793"/>
      <c r="L55" s="793"/>
      <c r="M55" s="812">
        <v>1.4999999999999999e-002</v>
      </c>
      <c r="N55" s="815" t="s">
        <v>1322</v>
      </c>
      <c r="O55" s="823" t="s">
        <v>937</v>
      </c>
      <c r="P55" s="826"/>
      <c r="Q55" s="826"/>
      <c r="R55" s="826"/>
      <c r="S55" s="826"/>
      <c r="T55" s="44"/>
      <c r="U55" s="44"/>
      <c r="V55" s="840" t="s">
        <v>893</v>
      </c>
      <c r="W55" s="830" t="s">
        <v>821</v>
      </c>
      <c r="X55" s="128"/>
      <c r="Y55" s="843" t="s">
        <v>1188</v>
      </c>
      <c r="Z55" s="849">
        <v>0.15</v>
      </c>
      <c r="AA55" s="856" t="s">
        <v>1336</v>
      </c>
      <c r="AB55" s="865" t="s">
        <v>272</v>
      </c>
      <c r="AC55" s="872" t="str">
        <f t="shared" si="0"/>
        <v>愛知県豊田市</v>
      </c>
      <c r="AD55" s="884">
        <v>11.05</v>
      </c>
      <c r="AE55" s="865">
        <v>10.83</v>
      </c>
      <c r="AF55" s="875">
        <v>10.68</v>
      </c>
      <c r="AG55" s="898" t="s">
        <v>1333</v>
      </c>
      <c r="AH55" s="849">
        <v>0.7</v>
      </c>
      <c r="AJ55" s="44"/>
      <c r="AK55" s="44"/>
      <c r="AL55" s="44"/>
      <c r="AM55" s="44"/>
      <c r="AN55" s="44"/>
      <c r="AO55" s="128"/>
      <c r="AP55" s="128"/>
      <c r="AW55" s="44"/>
      <c r="AX55" s="763" t="s">
        <v>1333</v>
      </c>
      <c r="AY55" s="943" t="str">
        <f t="shared" si="1"/>
        <v>居宅介護支援R8</v>
      </c>
      <c r="AZ55" s="793" t="s">
        <v>861</v>
      </c>
      <c r="BA55" s="929" t="s">
        <v>764</v>
      </c>
      <c r="BB55" s="928" t="s">
        <v>1339</v>
      </c>
      <c r="BC55" s="830" t="s">
        <v>511</v>
      </c>
      <c r="BD55" s="963"/>
    </row>
    <row r="56" spans="1:56" ht="14.25" customHeight="1">
      <c r="A56" s="762" t="s">
        <v>1333</v>
      </c>
      <c r="B56" s="762">
        <v>43</v>
      </c>
      <c r="C56" s="785">
        <v>0</v>
      </c>
      <c r="D56" s="793">
        <v>0</v>
      </c>
      <c r="E56" s="793">
        <v>0</v>
      </c>
      <c r="F56" s="793">
        <v>0</v>
      </c>
      <c r="G56" s="793"/>
      <c r="H56" s="793"/>
      <c r="I56" s="793"/>
      <c r="J56" s="793"/>
      <c r="K56" s="793"/>
      <c r="L56" s="793"/>
      <c r="M56" s="812">
        <v>2.1000000000000001e-002</v>
      </c>
      <c r="N56" s="815" t="s">
        <v>1322</v>
      </c>
      <c r="O56" s="823" t="s">
        <v>366</v>
      </c>
      <c r="P56" s="826"/>
      <c r="Q56" s="826"/>
      <c r="R56" s="826"/>
      <c r="S56" s="826"/>
      <c r="T56" s="44"/>
      <c r="U56" s="44"/>
      <c r="V56" s="840" t="s">
        <v>893</v>
      </c>
      <c r="W56" s="830" t="s">
        <v>48</v>
      </c>
      <c r="X56" s="128"/>
      <c r="Y56" s="843" t="s">
        <v>1188</v>
      </c>
      <c r="Z56" s="849">
        <v>0.15</v>
      </c>
      <c r="AA56" s="856" t="s">
        <v>249</v>
      </c>
      <c r="AB56" s="865" t="s">
        <v>1340</v>
      </c>
      <c r="AC56" s="872" t="str">
        <f t="shared" si="0"/>
        <v>大阪府守口市</v>
      </c>
      <c r="AD56" s="884">
        <v>11.05</v>
      </c>
      <c r="AE56" s="865">
        <v>10.83</v>
      </c>
      <c r="AF56" s="875">
        <v>10.68</v>
      </c>
      <c r="AG56" s="899" t="s">
        <v>946</v>
      </c>
      <c r="AH56" s="850">
        <v>0.7</v>
      </c>
      <c r="AJ56" s="44"/>
      <c r="AK56" s="44"/>
      <c r="AL56" s="44"/>
      <c r="AM56" s="44"/>
      <c r="AN56" s="44"/>
      <c r="AW56" s="44"/>
      <c r="AX56" s="936" t="s">
        <v>946</v>
      </c>
      <c r="AY56" s="944" t="str">
        <f t="shared" si="1"/>
        <v>介護予防支援R8</v>
      </c>
      <c r="AZ56" s="794" t="s">
        <v>861</v>
      </c>
      <c r="BA56" s="930" t="s">
        <v>764</v>
      </c>
      <c r="BB56" s="946" t="s">
        <v>1339</v>
      </c>
      <c r="BC56" s="832" t="s">
        <v>511</v>
      </c>
      <c r="BD56" s="961"/>
    </row>
    <row r="57" spans="1:56" ht="14.25" customHeight="1">
      <c r="A57" s="769" t="s">
        <v>946</v>
      </c>
      <c r="B57" s="777">
        <v>46</v>
      </c>
      <c r="C57" s="786">
        <v>0</v>
      </c>
      <c r="D57" s="794">
        <v>0</v>
      </c>
      <c r="E57" s="794">
        <v>0</v>
      </c>
      <c r="F57" s="794">
        <v>0</v>
      </c>
      <c r="G57" s="794"/>
      <c r="H57" s="794"/>
      <c r="I57" s="794"/>
      <c r="J57" s="794"/>
      <c r="K57" s="794"/>
      <c r="L57" s="794"/>
      <c r="M57" s="810">
        <v>2.1000000000000001e-002</v>
      </c>
      <c r="N57" s="819" t="s">
        <v>1322</v>
      </c>
      <c r="O57" s="825" t="s">
        <v>937</v>
      </c>
      <c r="P57" s="826"/>
      <c r="Q57" s="826"/>
      <c r="R57" s="826"/>
      <c r="S57" s="826"/>
      <c r="T57" s="44"/>
      <c r="U57" s="44"/>
      <c r="V57" s="840" t="s">
        <v>893</v>
      </c>
      <c r="W57" s="830" t="s">
        <v>1343</v>
      </c>
      <c r="X57" s="128"/>
      <c r="Y57" s="843" t="s">
        <v>1188</v>
      </c>
      <c r="Z57" s="849">
        <v>0.15</v>
      </c>
      <c r="AA57" s="856" t="s">
        <v>249</v>
      </c>
      <c r="AB57" s="865" t="s">
        <v>1187</v>
      </c>
      <c r="AC57" s="872" t="str">
        <f t="shared" si="0"/>
        <v>大阪府大東市</v>
      </c>
      <c r="AD57" s="884">
        <v>11.05</v>
      </c>
      <c r="AE57" s="865">
        <v>10.83</v>
      </c>
      <c r="AF57" s="875">
        <v>10.68</v>
      </c>
      <c r="AG57" s="758"/>
      <c r="AH57" s="758"/>
      <c r="AJ57" s="44"/>
      <c r="AK57" s="44"/>
      <c r="AL57" s="44"/>
      <c r="AM57" s="44"/>
      <c r="AN57" s="44"/>
    </row>
    <row r="58" spans="1:56" ht="15">
      <c r="A58" s="44"/>
      <c r="B58" s="44"/>
      <c r="C58" s="44"/>
      <c r="D58" s="44"/>
      <c r="E58" s="44"/>
      <c r="F58" s="44"/>
      <c r="G58" s="44"/>
      <c r="H58" s="44"/>
      <c r="I58" s="44"/>
      <c r="J58" s="802"/>
      <c r="K58" s="44"/>
      <c r="L58" s="44"/>
      <c r="M58" s="44"/>
      <c r="N58" s="44"/>
      <c r="O58" s="44"/>
      <c r="P58" s="826"/>
      <c r="Q58" s="826"/>
      <c r="R58" s="826"/>
      <c r="S58" s="826"/>
      <c r="V58" s="840" t="s">
        <v>893</v>
      </c>
      <c r="W58" s="830" t="s">
        <v>1345</v>
      </c>
      <c r="X58" s="128"/>
      <c r="Y58" s="843" t="s">
        <v>1188</v>
      </c>
      <c r="Z58" s="849">
        <v>0.15</v>
      </c>
      <c r="AA58" s="856" t="s">
        <v>249</v>
      </c>
      <c r="AB58" s="865" t="s">
        <v>1347</v>
      </c>
      <c r="AC58" s="872" t="str">
        <f t="shared" si="0"/>
        <v>大阪府門真市</v>
      </c>
      <c r="AD58" s="884">
        <v>11.05</v>
      </c>
      <c r="AE58" s="865">
        <v>10.83</v>
      </c>
      <c r="AF58" s="875">
        <v>10.68</v>
      </c>
      <c r="AG58" s="44"/>
      <c r="AJ58" s="44"/>
      <c r="AK58" s="44"/>
      <c r="AL58" s="44"/>
      <c r="AM58" s="44"/>
      <c r="AN58" s="44"/>
      <c r="AO58" s="44"/>
      <c r="AP58" s="44"/>
      <c r="AV58" s="44"/>
      <c r="AZ58" s="44"/>
    </row>
    <row r="59" spans="1:56" ht="15">
      <c r="A59" s="44"/>
      <c r="C59" s="44"/>
      <c r="D59" s="44"/>
      <c r="E59" s="44"/>
      <c r="F59" s="44"/>
      <c r="G59" s="44"/>
      <c r="H59" s="44"/>
      <c r="I59" s="44"/>
      <c r="J59" s="44"/>
      <c r="K59" s="44"/>
      <c r="L59" s="44"/>
      <c r="M59" s="44"/>
      <c r="N59" s="44"/>
      <c r="O59" s="44"/>
      <c r="P59" s="826"/>
      <c r="Q59" s="826"/>
      <c r="R59" s="826"/>
      <c r="S59" s="826"/>
      <c r="V59" s="840" t="s">
        <v>893</v>
      </c>
      <c r="W59" s="830" t="s">
        <v>1349</v>
      </c>
      <c r="X59" s="128"/>
      <c r="Y59" s="843" t="s">
        <v>1188</v>
      </c>
      <c r="Z59" s="849">
        <v>0.15</v>
      </c>
      <c r="AA59" s="856" t="s">
        <v>1297</v>
      </c>
      <c r="AB59" s="865" t="s">
        <v>396</v>
      </c>
      <c r="AC59" s="872" t="str">
        <f t="shared" si="0"/>
        <v>兵庫県西宮市</v>
      </c>
      <c r="AD59" s="884">
        <v>11.05</v>
      </c>
      <c r="AE59" s="865">
        <v>10.83</v>
      </c>
      <c r="AF59" s="875">
        <v>10.68</v>
      </c>
      <c r="AG59" s="44"/>
      <c r="AJ59" s="44"/>
      <c r="AK59" s="44"/>
      <c r="AL59" s="44"/>
      <c r="AM59" s="44"/>
      <c r="AN59" s="44"/>
      <c r="AO59" s="44"/>
      <c r="AP59" s="44"/>
      <c r="AV59" s="44"/>
      <c r="AZ59" s="44"/>
    </row>
    <row r="60" spans="1:56" ht="15">
      <c r="A60" s="44"/>
      <c r="C60" s="44"/>
      <c r="D60" s="44"/>
      <c r="E60" s="44"/>
      <c r="F60" s="44"/>
      <c r="G60" s="44"/>
      <c r="H60" s="44"/>
      <c r="I60" s="44"/>
      <c r="J60" s="44"/>
      <c r="K60" s="44"/>
      <c r="L60" s="44"/>
      <c r="M60" s="44"/>
      <c r="N60" s="44"/>
      <c r="O60" s="44"/>
      <c r="P60" s="826"/>
      <c r="Q60" s="826"/>
      <c r="R60" s="826"/>
      <c r="S60" s="826"/>
      <c r="V60" s="840" t="s">
        <v>893</v>
      </c>
      <c r="W60" s="830" t="s">
        <v>410</v>
      </c>
      <c r="X60" s="128"/>
      <c r="Y60" s="843" t="s">
        <v>1188</v>
      </c>
      <c r="Z60" s="849">
        <v>0.15</v>
      </c>
      <c r="AA60" s="856" t="s">
        <v>1297</v>
      </c>
      <c r="AB60" s="865" t="s">
        <v>8</v>
      </c>
      <c r="AC60" s="872" t="str">
        <f t="shared" si="0"/>
        <v>兵庫県芦屋市</v>
      </c>
      <c r="AD60" s="884">
        <v>11.05</v>
      </c>
      <c r="AE60" s="865">
        <v>10.83</v>
      </c>
      <c r="AF60" s="875">
        <v>10.68</v>
      </c>
      <c r="AG60" s="44"/>
      <c r="AJ60" s="44"/>
      <c r="AK60" s="44"/>
      <c r="AL60" s="44"/>
      <c r="AM60" s="44"/>
      <c r="AN60" s="44"/>
      <c r="AZ60" s="44"/>
    </row>
    <row r="61" spans="1:56" ht="15">
      <c r="E61" s="795"/>
      <c r="F61" s="795"/>
      <c r="G61" s="795"/>
      <c r="H61" s="795"/>
      <c r="I61" s="795"/>
      <c r="J61" s="44"/>
      <c r="K61" s="795"/>
      <c r="L61" s="795"/>
      <c r="M61" s="795"/>
      <c r="V61" s="840" t="s">
        <v>893</v>
      </c>
      <c r="W61" s="830" t="s">
        <v>1351</v>
      </c>
      <c r="X61" s="128"/>
      <c r="Y61" s="844" t="s">
        <v>1188</v>
      </c>
      <c r="Z61" s="850">
        <v>0.15</v>
      </c>
      <c r="AA61" s="857" t="s">
        <v>1297</v>
      </c>
      <c r="AB61" s="866" t="s">
        <v>1352</v>
      </c>
      <c r="AC61" s="873" t="str">
        <f t="shared" si="0"/>
        <v>兵庫県宝塚市</v>
      </c>
      <c r="AD61" s="885">
        <v>11.05</v>
      </c>
      <c r="AE61" s="866">
        <v>10.83</v>
      </c>
      <c r="AF61" s="878">
        <v>10.68</v>
      </c>
      <c r="AG61" s="44"/>
      <c r="AJ61" s="44"/>
      <c r="AK61" s="44"/>
      <c r="AL61" s="44"/>
      <c r="AM61" s="44"/>
      <c r="AN61" s="44"/>
      <c r="AZ61" s="44"/>
    </row>
    <row r="62" spans="1:56" ht="15">
      <c r="E62" s="795"/>
      <c r="F62" s="795"/>
      <c r="G62" s="795"/>
      <c r="H62" s="795"/>
      <c r="I62" s="795"/>
      <c r="J62" s="795"/>
      <c r="K62" s="795"/>
      <c r="L62" s="795"/>
      <c r="M62" s="795"/>
      <c r="V62" s="840" t="s">
        <v>893</v>
      </c>
      <c r="W62" s="830" t="s">
        <v>36</v>
      </c>
      <c r="X62" s="128"/>
      <c r="Y62" s="842" t="s">
        <v>1354</v>
      </c>
      <c r="Z62" s="848">
        <v>0.12</v>
      </c>
      <c r="AA62" s="855" t="s">
        <v>719</v>
      </c>
      <c r="AB62" s="864" t="s">
        <v>529</v>
      </c>
      <c r="AC62" s="877" t="str">
        <f t="shared" si="0"/>
        <v>茨城県牛久市</v>
      </c>
      <c r="AD62" s="883">
        <v>10.84</v>
      </c>
      <c r="AE62" s="864">
        <v>10.66</v>
      </c>
      <c r="AF62" s="877">
        <v>10.54</v>
      </c>
      <c r="AG62" s="44"/>
      <c r="AJ62" s="44"/>
      <c r="AK62" s="44"/>
      <c r="AL62" s="44"/>
      <c r="AM62" s="44"/>
      <c r="AN62" s="44"/>
    </row>
    <row r="63" spans="1:56" ht="15">
      <c r="E63" s="795"/>
      <c r="F63" s="795"/>
      <c r="G63" s="795"/>
      <c r="H63" s="795"/>
      <c r="I63" s="795"/>
      <c r="J63" s="795"/>
      <c r="K63" s="795"/>
      <c r="L63" s="795"/>
      <c r="M63" s="795"/>
      <c r="V63" s="840" t="s">
        <v>893</v>
      </c>
      <c r="W63" s="830" t="s">
        <v>351</v>
      </c>
      <c r="X63" s="128"/>
      <c r="Y63" s="843" t="s">
        <v>1354</v>
      </c>
      <c r="Z63" s="849">
        <v>0.12</v>
      </c>
      <c r="AA63" s="856" t="s">
        <v>986</v>
      </c>
      <c r="AB63" s="865" t="s">
        <v>1327</v>
      </c>
      <c r="AC63" s="875" t="str">
        <f t="shared" si="0"/>
        <v>埼玉県朝霞市</v>
      </c>
      <c r="AD63" s="884">
        <v>10.84</v>
      </c>
      <c r="AE63" s="865">
        <v>10.66</v>
      </c>
      <c r="AF63" s="875">
        <v>10.54</v>
      </c>
      <c r="AG63" s="44"/>
      <c r="AJ63" s="44"/>
      <c r="AK63" s="44"/>
      <c r="AL63" s="44"/>
      <c r="AM63" s="44"/>
      <c r="AN63" s="44"/>
    </row>
    <row r="64" spans="1:56" ht="15">
      <c r="E64" s="795"/>
      <c r="F64" s="795"/>
      <c r="G64" s="795"/>
      <c r="H64" s="795"/>
      <c r="I64" s="795"/>
      <c r="J64" s="795"/>
      <c r="K64" s="795"/>
      <c r="L64" s="795"/>
      <c r="M64" s="795"/>
      <c r="V64" s="840" t="s">
        <v>893</v>
      </c>
      <c r="W64" s="830" t="s">
        <v>584</v>
      </c>
      <c r="X64" s="128"/>
      <c r="Y64" s="843" t="s">
        <v>1354</v>
      </c>
      <c r="Z64" s="849">
        <v>0.12</v>
      </c>
      <c r="AA64" s="856" t="s">
        <v>986</v>
      </c>
      <c r="AB64" s="865" t="s">
        <v>1225</v>
      </c>
      <c r="AC64" s="875" t="str">
        <f t="shared" si="0"/>
        <v>埼玉県志木市</v>
      </c>
      <c r="AD64" s="884">
        <v>10.84</v>
      </c>
      <c r="AE64" s="865">
        <v>10.66</v>
      </c>
      <c r="AF64" s="875">
        <v>10.54</v>
      </c>
      <c r="AG64" s="44"/>
      <c r="AJ64" s="44"/>
      <c r="AK64" s="44"/>
      <c r="AL64" s="44"/>
      <c r="AM64" s="44"/>
      <c r="AN64" s="44"/>
    </row>
    <row r="65" spans="22:33" ht="14.25">
      <c r="V65" s="840" t="s">
        <v>893</v>
      </c>
      <c r="W65" s="830" t="s">
        <v>1356</v>
      </c>
      <c r="X65" s="128"/>
      <c r="Y65" s="843" t="s">
        <v>1354</v>
      </c>
      <c r="Z65" s="849">
        <v>0.12</v>
      </c>
      <c r="AA65" s="856" t="s">
        <v>986</v>
      </c>
      <c r="AB65" s="865" t="s">
        <v>1299</v>
      </c>
      <c r="AC65" s="875" t="str">
        <f t="shared" si="0"/>
        <v>埼玉県和光市</v>
      </c>
      <c r="AD65" s="884">
        <v>10.84</v>
      </c>
      <c r="AE65" s="865">
        <v>10.66</v>
      </c>
      <c r="AF65" s="875">
        <v>10.54</v>
      </c>
      <c r="AG65" s="44"/>
    </row>
    <row r="66" spans="22:33" ht="14.25">
      <c r="V66" s="840" t="s">
        <v>893</v>
      </c>
      <c r="W66" s="830" t="s">
        <v>1357</v>
      </c>
      <c r="X66" s="128"/>
      <c r="Y66" s="843" t="s">
        <v>1354</v>
      </c>
      <c r="Z66" s="849">
        <v>0.12</v>
      </c>
      <c r="AA66" s="856" t="s">
        <v>96</v>
      </c>
      <c r="AB66" s="865" t="s">
        <v>802</v>
      </c>
      <c r="AC66" s="875" t="str">
        <f t="shared" si="0"/>
        <v>千葉県船橋市</v>
      </c>
      <c r="AD66" s="884">
        <v>10.84</v>
      </c>
      <c r="AE66" s="865">
        <v>10.66</v>
      </c>
      <c r="AF66" s="875">
        <v>10.54</v>
      </c>
      <c r="AG66" s="44"/>
    </row>
    <row r="67" spans="22:33" ht="14.25">
      <c r="V67" s="840" t="s">
        <v>893</v>
      </c>
      <c r="W67" s="830" t="s">
        <v>1359</v>
      </c>
      <c r="X67" s="128"/>
      <c r="Y67" s="843" t="s">
        <v>1354</v>
      </c>
      <c r="Z67" s="849">
        <v>0.12</v>
      </c>
      <c r="AA67" s="856" t="s">
        <v>96</v>
      </c>
      <c r="AB67" s="865" t="s">
        <v>317</v>
      </c>
      <c r="AC67" s="875" t="str">
        <f t="shared" ref="AC67:AC130" si="2">AA67&amp;AB67</f>
        <v>千葉県成田市</v>
      </c>
      <c r="AD67" s="884">
        <v>10.84</v>
      </c>
      <c r="AE67" s="865">
        <v>10.66</v>
      </c>
      <c r="AF67" s="875">
        <v>10.54</v>
      </c>
      <c r="AG67" s="44"/>
    </row>
    <row r="68" spans="22:33" ht="14.25">
      <c r="V68" s="840" t="s">
        <v>893</v>
      </c>
      <c r="W68" s="830" t="s">
        <v>890</v>
      </c>
      <c r="X68" s="128"/>
      <c r="Y68" s="843" t="s">
        <v>1354</v>
      </c>
      <c r="Z68" s="849">
        <v>0.12</v>
      </c>
      <c r="AA68" s="856" t="s">
        <v>96</v>
      </c>
      <c r="AB68" s="865" t="s">
        <v>1362</v>
      </c>
      <c r="AC68" s="875" t="str">
        <f t="shared" si="2"/>
        <v>千葉県習志野市</v>
      </c>
      <c r="AD68" s="884">
        <v>10.84</v>
      </c>
      <c r="AE68" s="865">
        <v>10.66</v>
      </c>
      <c r="AF68" s="875">
        <v>10.54</v>
      </c>
      <c r="AG68" s="44"/>
    </row>
    <row r="69" spans="22:33" ht="14.25">
      <c r="V69" s="840" t="s">
        <v>893</v>
      </c>
      <c r="W69" s="830" t="s">
        <v>1249</v>
      </c>
      <c r="X69" s="128"/>
      <c r="Y69" s="843" t="s">
        <v>1354</v>
      </c>
      <c r="Z69" s="849">
        <v>0.12</v>
      </c>
      <c r="AA69" s="856" t="s">
        <v>385</v>
      </c>
      <c r="AB69" s="865" t="s">
        <v>25</v>
      </c>
      <c r="AC69" s="875" t="str">
        <f t="shared" si="2"/>
        <v>東京都立川市</v>
      </c>
      <c r="AD69" s="884">
        <v>10.84</v>
      </c>
      <c r="AE69" s="865">
        <v>10.66</v>
      </c>
      <c r="AF69" s="875">
        <v>10.54</v>
      </c>
      <c r="AG69" s="44"/>
    </row>
    <row r="70" spans="22:33" ht="14.25">
      <c r="V70" s="840" t="s">
        <v>893</v>
      </c>
      <c r="W70" s="830" t="s">
        <v>1364</v>
      </c>
      <c r="X70" s="128"/>
      <c r="Y70" s="843" t="s">
        <v>1354</v>
      </c>
      <c r="Z70" s="849">
        <v>0.12</v>
      </c>
      <c r="AA70" s="856" t="s">
        <v>385</v>
      </c>
      <c r="AB70" s="865" t="s">
        <v>1227</v>
      </c>
      <c r="AC70" s="875" t="str">
        <f t="shared" si="2"/>
        <v>東京都昭島市</v>
      </c>
      <c r="AD70" s="884">
        <v>10.84</v>
      </c>
      <c r="AE70" s="865">
        <v>10.66</v>
      </c>
      <c r="AF70" s="875">
        <v>10.54</v>
      </c>
      <c r="AG70" s="44"/>
    </row>
    <row r="71" spans="22:33" ht="14.25">
      <c r="V71" s="840" t="s">
        <v>893</v>
      </c>
      <c r="W71" s="830" t="s">
        <v>191</v>
      </c>
      <c r="X71" s="128"/>
      <c r="Y71" s="843" t="s">
        <v>1354</v>
      </c>
      <c r="Z71" s="849">
        <v>0.12</v>
      </c>
      <c r="AA71" s="856" t="s">
        <v>385</v>
      </c>
      <c r="AB71" s="865" t="s">
        <v>976</v>
      </c>
      <c r="AC71" s="875" t="str">
        <f t="shared" si="2"/>
        <v>東京都東大和市</v>
      </c>
      <c r="AD71" s="884">
        <v>10.84</v>
      </c>
      <c r="AE71" s="865">
        <v>10.66</v>
      </c>
      <c r="AF71" s="875">
        <v>10.54</v>
      </c>
      <c r="AG71" s="44"/>
    </row>
    <row r="72" spans="22:33" ht="14.25">
      <c r="V72" s="840" t="s">
        <v>893</v>
      </c>
      <c r="W72" s="830" t="s">
        <v>1365</v>
      </c>
      <c r="X72" s="128"/>
      <c r="Y72" s="843" t="s">
        <v>1354</v>
      </c>
      <c r="Z72" s="849">
        <v>0.12</v>
      </c>
      <c r="AA72" s="856" t="s">
        <v>1007</v>
      </c>
      <c r="AB72" s="865" t="s">
        <v>335</v>
      </c>
      <c r="AC72" s="875" t="str">
        <f t="shared" si="2"/>
        <v>神奈川県相模原市</v>
      </c>
      <c r="AD72" s="884">
        <v>10.84</v>
      </c>
      <c r="AE72" s="865">
        <v>10.66</v>
      </c>
      <c r="AF72" s="875">
        <v>10.54</v>
      </c>
      <c r="AG72" s="44"/>
    </row>
    <row r="73" spans="22:33" ht="14.25">
      <c r="V73" s="840" t="s">
        <v>893</v>
      </c>
      <c r="W73" s="830" t="s">
        <v>339</v>
      </c>
      <c r="X73" s="128"/>
      <c r="Y73" s="843" t="s">
        <v>1354</v>
      </c>
      <c r="Z73" s="849">
        <v>0.12</v>
      </c>
      <c r="AA73" s="856" t="s">
        <v>1007</v>
      </c>
      <c r="AB73" s="865" t="s">
        <v>1214</v>
      </c>
      <c r="AC73" s="875" t="str">
        <f t="shared" si="2"/>
        <v>神奈川県横須賀市</v>
      </c>
      <c r="AD73" s="884">
        <v>10.84</v>
      </c>
      <c r="AE73" s="865">
        <v>10.66</v>
      </c>
      <c r="AF73" s="875">
        <v>10.54</v>
      </c>
      <c r="AG73" s="44"/>
    </row>
    <row r="74" spans="22:33" ht="14.25">
      <c r="V74" s="840" t="s">
        <v>893</v>
      </c>
      <c r="W74" s="830" t="s">
        <v>1367</v>
      </c>
      <c r="X74" s="128"/>
      <c r="Y74" s="843" t="s">
        <v>1354</v>
      </c>
      <c r="Z74" s="849">
        <v>0.12</v>
      </c>
      <c r="AA74" s="856" t="s">
        <v>1007</v>
      </c>
      <c r="AB74" s="865" t="s">
        <v>1147</v>
      </c>
      <c r="AC74" s="875" t="str">
        <f t="shared" si="2"/>
        <v>神奈川県藤沢市</v>
      </c>
      <c r="AD74" s="884">
        <v>10.84</v>
      </c>
      <c r="AE74" s="865">
        <v>10.66</v>
      </c>
      <c r="AF74" s="875">
        <v>10.54</v>
      </c>
      <c r="AG74" s="44"/>
    </row>
    <row r="75" spans="22:33" ht="14.25">
      <c r="V75" s="840" t="s">
        <v>893</v>
      </c>
      <c r="W75" s="830" t="s">
        <v>1368</v>
      </c>
      <c r="X75" s="128"/>
      <c r="Y75" s="843" t="s">
        <v>1354</v>
      </c>
      <c r="Z75" s="849">
        <v>0.12</v>
      </c>
      <c r="AA75" s="856" t="s">
        <v>1007</v>
      </c>
      <c r="AB75" s="865" t="s">
        <v>866</v>
      </c>
      <c r="AC75" s="875" t="str">
        <f t="shared" si="2"/>
        <v>神奈川県逗子市</v>
      </c>
      <c r="AD75" s="884">
        <v>10.84</v>
      </c>
      <c r="AE75" s="865">
        <v>10.66</v>
      </c>
      <c r="AF75" s="875">
        <v>10.54</v>
      </c>
      <c r="AG75" s="44"/>
    </row>
    <row r="76" spans="22:33" ht="14.25">
      <c r="V76" s="840" t="s">
        <v>893</v>
      </c>
      <c r="W76" s="830" t="s">
        <v>1369</v>
      </c>
      <c r="X76" s="128"/>
      <c r="Y76" s="843" t="s">
        <v>1354</v>
      </c>
      <c r="Z76" s="849">
        <v>0.12</v>
      </c>
      <c r="AA76" s="856" t="s">
        <v>1007</v>
      </c>
      <c r="AB76" s="865" t="s">
        <v>957</v>
      </c>
      <c r="AC76" s="875" t="str">
        <f t="shared" si="2"/>
        <v>神奈川県三浦市</v>
      </c>
      <c r="AD76" s="884">
        <v>10.84</v>
      </c>
      <c r="AE76" s="865">
        <v>10.66</v>
      </c>
      <c r="AF76" s="875">
        <v>10.54</v>
      </c>
      <c r="AG76" s="44"/>
    </row>
    <row r="77" spans="22:33" ht="14.25">
      <c r="V77" s="840" t="s">
        <v>893</v>
      </c>
      <c r="W77" s="830" t="s">
        <v>1372</v>
      </c>
      <c r="X77" s="128"/>
      <c r="Y77" s="843" t="s">
        <v>1354</v>
      </c>
      <c r="Z77" s="849">
        <v>0.12</v>
      </c>
      <c r="AA77" s="856" t="s">
        <v>1007</v>
      </c>
      <c r="AB77" s="865" t="s">
        <v>898</v>
      </c>
      <c r="AC77" s="875" t="str">
        <f t="shared" si="2"/>
        <v>神奈川県海老名市</v>
      </c>
      <c r="AD77" s="884">
        <v>10.84</v>
      </c>
      <c r="AE77" s="865">
        <v>10.66</v>
      </c>
      <c r="AF77" s="875">
        <v>10.54</v>
      </c>
      <c r="AG77" s="44"/>
    </row>
    <row r="78" spans="22:33" ht="14.25">
      <c r="V78" s="840" t="s">
        <v>893</v>
      </c>
      <c r="W78" s="830" t="s">
        <v>1272</v>
      </c>
      <c r="X78" s="128"/>
      <c r="Y78" s="843" t="s">
        <v>1354</v>
      </c>
      <c r="Z78" s="849">
        <v>0.12</v>
      </c>
      <c r="AA78" s="856" t="s">
        <v>1143</v>
      </c>
      <c r="AB78" s="865" t="s">
        <v>1373</v>
      </c>
      <c r="AC78" s="875" t="str">
        <f t="shared" si="2"/>
        <v>大阪府豊中市</v>
      </c>
      <c r="AD78" s="884">
        <v>10.84</v>
      </c>
      <c r="AE78" s="865">
        <v>10.66</v>
      </c>
      <c r="AF78" s="875">
        <v>10.54</v>
      </c>
      <c r="AG78" s="44"/>
    </row>
    <row r="79" spans="22:33" ht="14.25">
      <c r="V79" s="840" t="s">
        <v>893</v>
      </c>
      <c r="W79" s="830" t="s">
        <v>466</v>
      </c>
      <c r="X79" s="128"/>
      <c r="Y79" s="843" t="s">
        <v>1354</v>
      </c>
      <c r="Z79" s="849">
        <v>0.12</v>
      </c>
      <c r="AA79" s="856" t="s">
        <v>1143</v>
      </c>
      <c r="AB79" s="865" t="s">
        <v>402</v>
      </c>
      <c r="AC79" s="875" t="str">
        <f t="shared" si="2"/>
        <v>大阪府池田市</v>
      </c>
      <c r="AD79" s="884">
        <v>10.84</v>
      </c>
      <c r="AE79" s="865">
        <v>10.66</v>
      </c>
      <c r="AF79" s="875">
        <v>10.54</v>
      </c>
      <c r="AG79" s="44"/>
    </row>
    <row r="80" spans="22:33" ht="14.25">
      <c r="V80" s="840" t="s">
        <v>893</v>
      </c>
      <c r="W80" s="830" t="s">
        <v>1379</v>
      </c>
      <c r="X80" s="128"/>
      <c r="Y80" s="843" t="s">
        <v>1354</v>
      </c>
      <c r="Z80" s="849">
        <v>0.12</v>
      </c>
      <c r="AA80" s="856" t="s">
        <v>1143</v>
      </c>
      <c r="AB80" s="865" t="s">
        <v>984</v>
      </c>
      <c r="AC80" s="875" t="str">
        <f t="shared" si="2"/>
        <v>大阪府吹田市</v>
      </c>
      <c r="AD80" s="884">
        <v>10.84</v>
      </c>
      <c r="AE80" s="865">
        <v>10.66</v>
      </c>
      <c r="AF80" s="875">
        <v>10.54</v>
      </c>
      <c r="AG80" s="44"/>
    </row>
    <row r="81" spans="22:33" ht="14.25">
      <c r="V81" s="840" t="s">
        <v>893</v>
      </c>
      <c r="W81" s="830" t="s">
        <v>1380</v>
      </c>
      <c r="X81" s="128"/>
      <c r="Y81" s="843" t="s">
        <v>1354</v>
      </c>
      <c r="Z81" s="849">
        <v>0.12</v>
      </c>
      <c r="AA81" s="856" t="s">
        <v>1143</v>
      </c>
      <c r="AB81" s="865" t="s">
        <v>1381</v>
      </c>
      <c r="AC81" s="875" t="str">
        <f t="shared" si="2"/>
        <v>大阪府高槻市</v>
      </c>
      <c r="AD81" s="884">
        <v>10.84</v>
      </c>
      <c r="AE81" s="865">
        <v>10.66</v>
      </c>
      <c r="AF81" s="875">
        <v>10.54</v>
      </c>
      <c r="AG81" s="44"/>
    </row>
    <row r="82" spans="22:33" ht="14.25">
      <c r="V82" s="840" t="s">
        <v>893</v>
      </c>
      <c r="W82" s="830" t="s">
        <v>1061</v>
      </c>
      <c r="X82" s="128"/>
      <c r="Y82" s="843" t="s">
        <v>1354</v>
      </c>
      <c r="Z82" s="849">
        <v>0.12</v>
      </c>
      <c r="AA82" s="856" t="s">
        <v>1143</v>
      </c>
      <c r="AB82" s="865" t="s">
        <v>1382</v>
      </c>
      <c r="AC82" s="875" t="str">
        <f t="shared" si="2"/>
        <v>大阪府寝屋川市</v>
      </c>
      <c r="AD82" s="884">
        <v>10.84</v>
      </c>
      <c r="AE82" s="865">
        <v>10.66</v>
      </c>
      <c r="AF82" s="875">
        <v>10.54</v>
      </c>
      <c r="AG82" s="44"/>
    </row>
    <row r="83" spans="22:33" ht="14.25">
      <c r="V83" s="840" t="s">
        <v>893</v>
      </c>
      <c r="W83" s="830" t="s">
        <v>1383</v>
      </c>
      <c r="X83" s="128"/>
      <c r="Y83" s="843" t="s">
        <v>1354</v>
      </c>
      <c r="Z83" s="849">
        <v>0.12</v>
      </c>
      <c r="AA83" s="856" t="s">
        <v>1143</v>
      </c>
      <c r="AB83" s="865" t="s">
        <v>1388</v>
      </c>
      <c r="AC83" s="875" t="str">
        <f t="shared" si="2"/>
        <v>大阪府箕面市</v>
      </c>
      <c r="AD83" s="884">
        <v>10.84</v>
      </c>
      <c r="AE83" s="865">
        <v>10.66</v>
      </c>
      <c r="AF83" s="875">
        <v>10.54</v>
      </c>
      <c r="AG83" s="44"/>
    </row>
    <row r="84" spans="22:33" ht="14.25">
      <c r="V84" s="840" t="s">
        <v>893</v>
      </c>
      <c r="W84" s="830" t="s">
        <v>633</v>
      </c>
      <c r="X84" s="128"/>
      <c r="Y84" s="843" t="s">
        <v>1354</v>
      </c>
      <c r="Z84" s="849">
        <v>0.12</v>
      </c>
      <c r="AA84" s="856" t="s">
        <v>1143</v>
      </c>
      <c r="AB84" s="865" t="s">
        <v>544</v>
      </c>
      <c r="AC84" s="875" t="str">
        <f t="shared" si="2"/>
        <v>大阪府四條畷市</v>
      </c>
      <c r="AD84" s="884">
        <v>10.84</v>
      </c>
      <c r="AE84" s="865">
        <v>10.66</v>
      </c>
      <c r="AF84" s="875">
        <v>10.54</v>
      </c>
      <c r="AG84" s="44"/>
    </row>
    <row r="85" spans="22:33" ht="14.25">
      <c r="V85" s="840" t="s">
        <v>893</v>
      </c>
      <c r="W85" s="830" t="s">
        <v>1389</v>
      </c>
      <c r="X85" s="128"/>
      <c r="Y85" s="844" t="s">
        <v>1354</v>
      </c>
      <c r="Z85" s="850">
        <v>0.12</v>
      </c>
      <c r="AA85" s="857" t="s">
        <v>1158</v>
      </c>
      <c r="AB85" s="866" t="s">
        <v>1390</v>
      </c>
      <c r="AC85" s="878" t="str">
        <f t="shared" si="2"/>
        <v>兵庫県神戸市</v>
      </c>
      <c r="AD85" s="885">
        <v>10.84</v>
      </c>
      <c r="AE85" s="866">
        <v>10.66</v>
      </c>
      <c r="AF85" s="878">
        <v>10.54</v>
      </c>
      <c r="AG85" s="44"/>
    </row>
    <row r="86" spans="22:33" ht="14.25">
      <c r="V86" s="840" t="s">
        <v>893</v>
      </c>
      <c r="W86" s="830" t="s">
        <v>1391</v>
      </c>
      <c r="X86" s="128"/>
      <c r="Y86" s="842" t="s">
        <v>1018</v>
      </c>
      <c r="Z86" s="848">
        <v>0.1</v>
      </c>
      <c r="AA86" s="855" t="s">
        <v>719</v>
      </c>
      <c r="AB86" s="864" t="s">
        <v>1254</v>
      </c>
      <c r="AC86" s="871" t="str">
        <f t="shared" si="2"/>
        <v>茨城県水戸市</v>
      </c>
      <c r="AD86" s="886">
        <v>10.7</v>
      </c>
      <c r="AE86" s="867">
        <v>10.55</v>
      </c>
      <c r="AF86" s="874">
        <v>10.45</v>
      </c>
      <c r="AG86" s="44"/>
    </row>
    <row r="87" spans="22:33" ht="14.25">
      <c r="V87" s="840" t="s">
        <v>893</v>
      </c>
      <c r="W87" s="830" t="s">
        <v>959</v>
      </c>
      <c r="X87" s="128"/>
      <c r="Y87" s="843" t="s">
        <v>1018</v>
      </c>
      <c r="Z87" s="849">
        <v>0.1</v>
      </c>
      <c r="AA87" s="856" t="s">
        <v>719</v>
      </c>
      <c r="AB87" s="865" t="s">
        <v>882</v>
      </c>
      <c r="AC87" s="872" t="str">
        <f t="shared" si="2"/>
        <v>茨城県日立市</v>
      </c>
      <c r="AD87" s="884">
        <v>10.7</v>
      </c>
      <c r="AE87" s="865">
        <v>10.55</v>
      </c>
      <c r="AF87" s="875">
        <v>10.45</v>
      </c>
      <c r="AG87" s="44"/>
    </row>
    <row r="88" spans="22:33" ht="14.25">
      <c r="V88" s="840" t="s">
        <v>893</v>
      </c>
      <c r="W88" s="830" t="s">
        <v>950</v>
      </c>
      <c r="X88" s="128"/>
      <c r="Y88" s="843" t="s">
        <v>1018</v>
      </c>
      <c r="Z88" s="849">
        <v>0.1</v>
      </c>
      <c r="AA88" s="856" t="s">
        <v>719</v>
      </c>
      <c r="AB88" s="865" t="s">
        <v>1393</v>
      </c>
      <c r="AC88" s="872" t="str">
        <f t="shared" si="2"/>
        <v>茨城県龍ケ崎市</v>
      </c>
      <c r="AD88" s="884">
        <v>10.7</v>
      </c>
      <c r="AE88" s="865">
        <v>10.55</v>
      </c>
      <c r="AF88" s="875">
        <v>10.45</v>
      </c>
      <c r="AG88" s="44"/>
    </row>
    <row r="89" spans="22:33" ht="14.25">
      <c r="V89" s="840" t="s">
        <v>893</v>
      </c>
      <c r="W89" s="830" t="s">
        <v>1395</v>
      </c>
      <c r="X89" s="128"/>
      <c r="Y89" s="843" t="s">
        <v>1018</v>
      </c>
      <c r="Z89" s="849">
        <v>0.1</v>
      </c>
      <c r="AA89" s="856" t="s">
        <v>719</v>
      </c>
      <c r="AB89" s="865" t="s">
        <v>318</v>
      </c>
      <c r="AC89" s="872" t="str">
        <f t="shared" si="2"/>
        <v>茨城県取手市</v>
      </c>
      <c r="AD89" s="884">
        <v>10.7</v>
      </c>
      <c r="AE89" s="865">
        <v>10.55</v>
      </c>
      <c r="AF89" s="875">
        <v>10.45</v>
      </c>
      <c r="AG89" s="44"/>
    </row>
    <row r="90" spans="22:33" ht="14.25">
      <c r="V90" s="840" t="s">
        <v>893</v>
      </c>
      <c r="W90" s="830" t="s">
        <v>1232</v>
      </c>
      <c r="X90" s="128"/>
      <c r="Y90" s="843" t="s">
        <v>1018</v>
      </c>
      <c r="Z90" s="849">
        <v>0.1</v>
      </c>
      <c r="AA90" s="856" t="s">
        <v>719</v>
      </c>
      <c r="AB90" s="865" t="s">
        <v>1396</v>
      </c>
      <c r="AC90" s="872" t="str">
        <f t="shared" si="2"/>
        <v>茨城県つくば市</v>
      </c>
      <c r="AD90" s="884">
        <v>10.7</v>
      </c>
      <c r="AE90" s="865">
        <v>10.55</v>
      </c>
      <c r="AF90" s="875">
        <v>10.45</v>
      </c>
      <c r="AG90" s="44"/>
    </row>
    <row r="91" spans="22:33" ht="14.25">
      <c r="V91" s="840" t="s">
        <v>893</v>
      </c>
      <c r="W91" s="830" t="s">
        <v>1398</v>
      </c>
      <c r="X91" s="128"/>
      <c r="Y91" s="843" t="s">
        <v>1018</v>
      </c>
      <c r="Z91" s="849">
        <v>0.1</v>
      </c>
      <c r="AA91" s="856" t="s">
        <v>719</v>
      </c>
      <c r="AB91" s="865" t="s">
        <v>246</v>
      </c>
      <c r="AC91" s="872" t="str">
        <f t="shared" si="2"/>
        <v>茨城県守谷市</v>
      </c>
      <c r="AD91" s="884">
        <v>10.7</v>
      </c>
      <c r="AE91" s="865">
        <v>10.55</v>
      </c>
      <c r="AF91" s="875">
        <v>10.45</v>
      </c>
      <c r="AG91" s="44"/>
    </row>
    <row r="92" spans="22:33" ht="14.25">
      <c r="V92" s="840" t="s">
        <v>893</v>
      </c>
      <c r="W92" s="830" t="s">
        <v>1400</v>
      </c>
      <c r="X92" s="128"/>
      <c r="Y92" s="843" t="s">
        <v>1018</v>
      </c>
      <c r="Z92" s="849">
        <v>0.1</v>
      </c>
      <c r="AA92" s="856" t="s">
        <v>986</v>
      </c>
      <c r="AB92" s="865" t="s">
        <v>1405</v>
      </c>
      <c r="AC92" s="872" t="str">
        <f t="shared" si="2"/>
        <v>埼玉県川口市</v>
      </c>
      <c r="AD92" s="884">
        <v>10.7</v>
      </c>
      <c r="AE92" s="865">
        <v>10.55</v>
      </c>
      <c r="AF92" s="875">
        <v>10.45</v>
      </c>
      <c r="AG92" s="44"/>
    </row>
    <row r="93" spans="22:33" ht="14.25">
      <c r="V93" s="840" t="s">
        <v>893</v>
      </c>
      <c r="W93" s="830" t="s">
        <v>1407</v>
      </c>
      <c r="X93" s="128"/>
      <c r="Y93" s="843" t="s">
        <v>1018</v>
      </c>
      <c r="Z93" s="849">
        <v>0.1</v>
      </c>
      <c r="AA93" s="856" t="s">
        <v>986</v>
      </c>
      <c r="AB93" s="865" t="s">
        <v>1411</v>
      </c>
      <c r="AC93" s="872" t="str">
        <f t="shared" si="2"/>
        <v>埼玉県草加市</v>
      </c>
      <c r="AD93" s="884">
        <v>10.7</v>
      </c>
      <c r="AE93" s="865">
        <v>10.55</v>
      </c>
      <c r="AF93" s="875">
        <v>10.45</v>
      </c>
      <c r="AG93" s="44"/>
    </row>
    <row r="94" spans="22:33" ht="14.25">
      <c r="V94" s="840" t="s">
        <v>893</v>
      </c>
      <c r="W94" s="830" t="s">
        <v>1341</v>
      </c>
      <c r="X94" s="128"/>
      <c r="Y94" s="843" t="s">
        <v>1018</v>
      </c>
      <c r="Z94" s="849">
        <v>0.1</v>
      </c>
      <c r="AA94" s="856" t="s">
        <v>986</v>
      </c>
      <c r="AB94" s="865" t="s">
        <v>993</v>
      </c>
      <c r="AC94" s="872" t="str">
        <f t="shared" si="2"/>
        <v>埼玉県戸田市</v>
      </c>
      <c r="AD94" s="884">
        <v>10.7</v>
      </c>
      <c r="AE94" s="865">
        <v>10.55</v>
      </c>
      <c r="AF94" s="875">
        <v>10.45</v>
      </c>
      <c r="AG94" s="44"/>
    </row>
    <row r="95" spans="22:33" ht="14.25">
      <c r="V95" s="840" t="s">
        <v>893</v>
      </c>
      <c r="W95" s="830" t="s">
        <v>635</v>
      </c>
      <c r="X95" s="128"/>
      <c r="Y95" s="843" t="s">
        <v>1018</v>
      </c>
      <c r="Z95" s="849">
        <v>0.1</v>
      </c>
      <c r="AA95" s="856" t="s">
        <v>986</v>
      </c>
      <c r="AB95" s="865" t="s">
        <v>596</v>
      </c>
      <c r="AC95" s="872" t="str">
        <f t="shared" si="2"/>
        <v>埼玉県新座市</v>
      </c>
      <c r="AD95" s="884">
        <v>10.7</v>
      </c>
      <c r="AE95" s="865">
        <v>10.55</v>
      </c>
      <c r="AF95" s="875">
        <v>10.45</v>
      </c>
      <c r="AG95" s="44"/>
    </row>
    <row r="96" spans="22:33" ht="14.25">
      <c r="V96" s="840" t="s">
        <v>893</v>
      </c>
      <c r="W96" s="830" t="s">
        <v>1412</v>
      </c>
      <c r="X96" s="128"/>
      <c r="Y96" s="843" t="s">
        <v>1018</v>
      </c>
      <c r="Z96" s="849">
        <v>0.1</v>
      </c>
      <c r="AA96" s="856" t="s">
        <v>986</v>
      </c>
      <c r="AB96" s="865" t="s">
        <v>67</v>
      </c>
      <c r="AC96" s="872" t="str">
        <f t="shared" si="2"/>
        <v>埼玉県八潮市</v>
      </c>
      <c r="AD96" s="884">
        <v>10.7</v>
      </c>
      <c r="AE96" s="865">
        <v>10.55</v>
      </c>
      <c r="AF96" s="875">
        <v>10.45</v>
      </c>
      <c r="AG96" s="44"/>
    </row>
    <row r="97" spans="22:33" ht="14.25">
      <c r="V97" s="840" t="s">
        <v>893</v>
      </c>
      <c r="W97" s="830" t="s">
        <v>264</v>
      </c>
      <c r="X97" s="128"/>
      <c r="Y97" s="843" t="s">
        <v>1018</v>
      </c>
      <c r="Z97" s="849">
        <v>0.1</v>
      </c>
      <c r="AA97" s="856" t="s">
        <v>986</v>
      </c>
      <c r="AB97" s="865" t="s">
        <v>261</v>
      </c>
      <c r="AC97" s="872" t="str">
        <f t="shared" si="2"/>
        <v>埼玉県ふじみ野市</v>
      </c>
      <c r="AD97" s="884">
        <v>10.7</v>
      </c>
      <c r="AE97" s="865">
        <v>10.55</v>
      </c>
      <c r="AF97" s="875">
        <v>10.45</v>
      </c>
      <c r="AG97" s="44"/>
    </row>
    <row r="98" spans="22:33" ht="14.25">
      <c r="V98" s="840" t="s">
        <v>893</v>
      </c>
      <c r="W98" s="830" t="s">
        <v>1413</v>
      </c>
      <c r="X98" s="128"/>
      <c r="Y98" s="843" t="s">
        <v>1018</v>
      </c>
      <c r="Z98" s="849">
        <v>0.1</v>
      </c>
      <c r="AA98" s="856" t="s">
        <v>96</v>
      </c>
      <c r="AB98" s="865" t="s">
        <v>724</v>
      </c>
      <c r="AC98" s="872" t="str">
        <f t="shared" si="2"/>
        <v>千葉県市川市</v>
      </c>
      <c r="AD98" s="884">
        <v>10.7</v>
      </c>
      <c r="AE98" s="865">
        <v>10.55</v>
      </c>
      <c r="AF98" s="875">
        <v>10.45</v>
      </c>
      <c r="AG98" s="44"/>
    </row>
    <row r="99" spans="22:33" ht="14.25">
      <c r="V99" s="840" t="s">
        <v>893</v>
      </c>
      <c r="W99" s="830" t="s">
        <v>250</v>
      </c>
      <c r="X99" s="128"/>
      <c r="Y99" s="843" t="s">
        <v>1018</v>
      </c>
      <c r="Z99" s="849">
        <v>0.1</v>
      </c>
      <c r="AA99" s="856" t="s">
        <v>96</v>
      </c>
      <c r="AB99" s="865" t="s">
        <v>1415</v>
      </c>
      <c r="AC99" s="872" t="str">
        <f t="shared" si="2"/>
        <v>千葉県松戸市</v>
      </c>
      <c r="AD99" s="884">
        <v>10.7</v>
      </c>
      <c r="AE99" s="865">
        <v>10.55</v>
      </c>
      <c r="AF99" s="875">
        <v>10.45</v>
      </c>
      <c r="AG99" s="44"/>
    </row>
    <row r="100" spans="22:33" ht="14.25">
      <c r="V100" s="840" t="s">
        <v>893</v>
      </c>
      <c r="W100" s="830" t="s">
        <v>528</v>
      </c>
      <c r="X100" s="128"/>
      <c r="Y100" s="843" t="s">
        <v>1018</v>
      </c>
      <c r="Z100" s="849">
        <v>0.1</v>
      </c>
      <c r="AA100" s="856" t="s">
        <v>96</v>
      </c>
      <c r="AB100" s="865" t="s">
        <v>81</v>
      </c>
      <c r="AC100" s="872" t="str">
        <f t="shared" si="2"/>
        <v>千葉県佐倉市</v>
      </c>
      <c r="AD100" s="884">
        <v>10.7</v>
      </c>
      <c r="AE100" s="865">
        <v>10.55</v>
      </c>
      <c r="AF100" s="875">
        <v>10.45</v>
      </c>
      <c r="AG100" s="44"/>
    </row>
    <row r="101" spans="22:33" ht="14.25">
      <c r="V101" s="840" t="s">
        <v>893</v>
      </c>
      <c r="W101" s="830" t="s">
        <v>640</v>
      </c>
      <c r="X101" s="128"/>
      <c r="Y101" s="843" t="s">
        <v>1018</v>
      </c>
      <c r="Z101" s="849">
        <v>0.1</v>
      </c>
      <c r="AA101" s="856" t="s">
        <v>96</v>
      </c>
      <c r="AB101" s="865" t="s">
        <v>828</v>
      </c>
      <c r="AC101" s="872" t="str">
        <f t="shared" si="2"/>
        <v>千葉県市原市</v>
      </c>
      <c r="AD101" s="884">
        <v>10.7</v>
      </c>
      <c r="AE101" s="865">
        <v>10.55</v>
      </c>
      <c r="AF101" s="875">
        <v>10.45</v>
      </c>
      <c r="AG101" s="44"/>
    </row>
    <row r="102" spans="22:33" ht="14.25">
      <c r="V102" s="840" t="s">
        <v>893</v>
      </c>
      <c r="W102" s="830" t="s">
        <v>431</v>
      </c>
      <c r="X102" s="128"/>
      <c r="Y102" s="843" t="s">
        <v>1018</v>
      </c>
      <c r="Z102" s="849">
        <v>0.1</v>
      </c>
      <c r="AA102" s="856" t="s">
        <v>96</v>
      </c>
      <c r="AB102" s="865" t="s">
        <v>1416</v>
      </c>
      <c r="AC102" s="872" t="str">
        <f t="shared" si="2"/>
        <v>千葉県八千代市</v>
      </c>
      <c r="AD102" s="884">
        <v>10.7</v>
      </c>
      <c r="AE102" s="865">
        <v>10.55</v>
      </c>
      <c r="AF102" s="875">
        <v>10.45</v>
      </c>
      <c r="AG102" s="44"/>
    </row>
    <row r="103" spans="22:33" ht="14.25">
      <c r="V103" s="840" t="s">
        <v>893</v>
      </c>
      <c r="W103" s="830" t="s">
        <v>1418</v>
      </c>
      <c r="X103" s="128"/>
      <c r="Y103" s="843" t="s">
        <v>1018</v>
      </c>
      <c r="Z103" s="849">
        <v>0.1</v>
      </c>
      <c r="AA103" s="856" t="s">
        <v>96</v>
      </c>
      <c r="AB103" s="865" t="s">
        <v>847</v>
      </c>
      <c r="AC103" s="872" t="str">
        <f t="shared" si="2"/>
        <v>千葉県四街道市</v>
      </c>
      <c r="AD103" s="884">
        <v>10.7</v>
      </c>
      <c r="AE103" s="865">
        <v>10.55</v>
      </c>
      <c r="AF103" s="875">
        <v>10.45</v>
      </c>
      <c r="AG103" s="44"/>
    </row>
    <row r="104" spans="22:33" ht="14.25">
      <c r="V104" s="840" t="s">
        <v>893</v>
      </c>
      <c r="W104" s="830" t="s">
        <v>228</v>
      </c>
      <c r="X104" s="128"/>
      <c r="Y104" s="843" t="s">
        <v>1018</v>
      </c>
      <c r="Z104" s="849">
        <v>0.1</v>
      </c>
      <c r="AA104" s="856" t="s">
        <v>96</v>
      </c>
      <c r="AB104" s="865" t="s">
        <v>1422</v>
      </c>
      <c r="AC104" s="872" t="str">
        <f t="shared" si="2"/>
        <v>千葉県袖ケ浦市</v>
      </c>
      <c r="AD104" s="884">
        <v>10.7</v>
      </c>
      <c r="AE104" s="865">
        <v>10.55</v>
      </c>
      <c r="AF104" s="875">
        <v>10.45</v>
      </c>
      <c r="AG104" s="44"/>
    </row>
    <row r="105" spans="22:33" ht="14.25">
      <c r="V105" s="840" t="s">
        <v>893</v>
      </c>
      <c r="W105" s="830" t="s">
        <v>1423</v>
      </c>
      <c r="X105" s="128"/>
      <c r="Y105" s="843" t="s">
        <v>1018</v>
      </c>
      <c r="Z105" s="849">
        <v>0.1</v>
      </c>
      <c r="AA105" s="856" t="s">
        <v>96</v>
      </c>
      <c r="AB105" s="865" t="s">
        <v>383</v>
      </c>
      <c r="AC105" s="872" t="str">
        <f t="shared" si="2"/>
        <v>千葉県印西市</v>
      </c>
      <c r="AD105" s="884">
        <v>10.7</v>
      </c>
      <c r="AE105" s="865">
        <v>10.55</v>
      </c>
      <c r="AF105" s="875">
        <v>10.45</v>
      </c>
      <c r="AG105" s="44"/>
    </row>
    <row r="106" spans="22:33" ht="14.25">
      <c r="V106" s="840" t="s">
        <v>893</v>
      </c>
      <c r="W106" s="830" t="s">
        <v>1426</v>
      </c>
      <c r="X106" s="128"/>
      <c r="Y106" s="843" t="s">
        <v>1018</v>
      </c>
      <c r="Z106" s="849">
        <v>0.1</v>
      </c>
      <c r="AA106" s="856" t="s">
        <v>96</v>
      </c>
      <c r="AB106" s="865" t="s">
        <v>785</v>
      </c>
      <c r="AC106" s="872" t="str">
        <f t="shared" si="2"/>
        <v>千葉県栄町</v>
      </c>
      <c r="AD106" s="884">
        <v>10.7</v>
      </c>
      <c r="AE106" s="865">
        <v>10.55</v>
      </c>
      <c r="AF106" s="875">
        <v>10.45</v>
      </c>
      <c r="AG106" s="44"/>
    </row>
    <row r="107" spans="22:33" ht="14.25">
      <c r="V107" s="840" t="s">
        <v>893</v>
      </c>
      <c r="W107" s="830" t="s">
        <v>1140</v>
      </c>
      <c r="X107" s="128"/>
      <c r="Y107" s="843" t="s">
        <v>1018</v>
      </c>
      <c r="Z107" s="849">
        <v>0.1</v>
      </c>
      <c r="AA107" s="856" t="s">
        <v>385</v>
      </c>
      <c r="AB107" s="865" t="s">
        <v>1146</v>
      </c>
      <c r="AC107" s="872" t="str">
        <f t="shared" si="2"/>
        <v>東京都福生市</v>
      </c>
      <c r="AD107" s="884">
        <v>10.7</v>
      </c>
      <c r="AE107" s="865">
        <v>10.55</v>
      </c>
      <c r="AF107" s="875">
        <v>10.45</v>
      </c>
      <c r="AG107" s="44"/>
    </row>
    <row r="108" spans="22:33" ht="14.25">
      <c r="V108" s="840" t="s">
        <v>893</v>
      </c>
      <c r="W108" s="830" t="s">
        <v>1045</v>
      </c>
      <c r="X108" s="128"/>
      <c r="Y108" s="843" t="s">
        <v>1018</v>
      </c>
      <c r="Z108" s="849">
        <v>0.1</v>
      </c>
      <c r="AA108" s="856" t="s">
        <v>385</v>
      </c>
      <c r="AB108" s="865" t="s">
        <v>1427</v>
      </c>
      <c r="AC108" s="872" t="str">
        <f t="shared" si="2"/>
        <v>東京都あきる野市</v>
      </c>
      <c r="AD108" s="884">
        <v>10.7</v>
      </c>
      <c r="AE108" s="865">
        <v>10.55</v>
      </c>
      <c r="AF108" s="875">
        <v>10.45</v>
      </c>
      <c r="AG108" s="44"/>
    </row>
    <row r="109" spans="22:33" ht="14.25">
      <c r="V109" s="840" t="s">
        <v>893</v>
      </c>
      <c r="W109" s="830" t="s">
        <v>1397</v>
      </c>
      <c r="X109" s="128"/>
      <c r="Y109" s="843" t="s">
        <v>1018</v>
      </c>
      <c r="Z109" s="849">
        <v>0.1</v>
      </c>
      <c r="AA109" s="856" t="s">
        <v>385</v>
      </c>
      <c r="AB109" s="865" t="s">
        <v>1402</v>
      </c>
      <c r="AC109" s="872" t="str">
        <f t="shared" si="2"/>
        <v>東京都日の出町</v>
      </c>
      <c r="AD109" s="884">
        <v>10.7</v>
      </c>
      <c r="AE109" s="865">
        <v>10.55</v>
      </c>
      <c r="AF109" s="875">
        <v>10.45</v>
      </c>
      <c r="AG109" s="44"/>
    </row>
    <row r="110" spans="22:33" ht="14.25">
      <c r="V110" s="840" t="s">
        <v>893</v>
      </c>
      <c r="W110" s="830" t="s">
        <v>1429</v>
      </c>
      <c r="X110" s="128"/>
      <c r="Y110" s="843" t="s">
        <v>1018</v>
      </c>
      <c r="Z110" s="849">
        <v>0.1</v>
      </c>
      <c r="AA110" s="856" t="s">
        <v>1007</v>
      </c>
      <c r="AB110" s="865" t="s">
        <v>1430</v>
      </c>
      <c r="AC110" s="872" t="str">
        <f t="shared" si="2"/>
        <v>神奈川県平塚市</v>
      </c>
      <c r="AD110" s="884">
        <v>10.7</v>
      </c>
      <c r="AE110" s="865">
        <v>10.55</v>
      </c>
      <c r="AF110" s="875">
        <v>10.45</v>
      </c>
      <c r="AG110" s="44"/>
    </row>
    <row r="111" spans="22:33" ht="14.25">
      <c r="V111" s="840" t="s">
        <v>893</v>
      </c>
      <c r="W111" s="830" t="s">
        <v>808</v>
      </c>
      <c r="X111" s="128"/>
      <c r="Y111" s="843" t="s">
        <v>1018</v>
      </c>
      <c r="Z111" s="849">
        <v>0.1</v>
      </c>
      <c r="AA111" s="856" t="s">
        <v>1007</v>
      </c>
      <c r="AB111" s="865" t="s">
        <v>889</v>
      </c>
      <c r="AC111" s="872" t="str">
        <f t="shared" si="2"/>
        <v>神奈川県小田原市</v>
      </c>
      <c r="AD111" s="884">
        <v>10.7</v>
      </c>
      <c r="AE111" s="865">
        <v>10.55</v>
      </c>
      <c r="AF111" s="875">
        <v>10.45</v>
      </c>
      <c r="AG111" s="44"/>
    </row>
    <row r="112" spans="22:33" ht="14.25">
      <c r="V112" s="840" t="s">
        <v>893</v>
      </c>
      <c r="W112" s="830" t="s">
        <v>1431</v>
      </c>
      <c r="X112" s="128"/>
      <c r="Y112" s="843" t="s">
        <v>1018</v>
      </c>
      <c r="Z112" s="849">
        <v>0.1</v>
      </c>
      <c r="AA112" s="856" t="s">
        <v>1007</v>
      </c>
      <c r="AB112" s="865" t="s">
        <v>1432</v>
      </c>
      <c r="AC112" s="872" t="str">
        <f t="shared" si="2"/>
        <v>神奈川県茅ヶ崎市</v>
      </c>
      <c r="AD112" s="884">
        <v>10.7</v>
      </c>
      <c r="AE112" s="865">
        <v>10.55</v>
      </c>
      <c r="AF112" s="875">
        <v>10.45</v>
      </c>
      <c r="AG112" s="44"/>
    </row>
    <row r="113" spans="22:33" ht="14.25">
      <c r="V113" s="840" t="s">
        <v>893</v>
      </c>
      <c r="W113" s="830" t="s">
        <v>329</v>
      </c>
      <c r="X113" s="128"/>
      <c r="Y113" s="843" t="s">
        <v>1018</v>
      </c>
      <c r="Z113" s="849">
        <v>0.1</v>
      </c>
      <c r="AA113" s="856" t="s">
        <v>1007</v>
      </c>
      <c r="AB113" s="865" t="s">
        <v>1436</v>
      </c>
      <c r="AC113" s="872" t="str">
        <f t="shared" si="2"/>
        <v>神奈川県大和市</v>
      </c>
      <c r="AD113" s="884">
        <v>10.7</v>
      </c>
      <c r="AE113" s="865">
        <v>10.55</v>
      </c>
      <c r="AF113" s="875">
        <v>10.45</v>
      </c>
      <c r="AG113" s="44"/>
    </row>
    <row r="114" spans="22:33" ht="14.25">
      <c r="V114" s="840" t="s">
        <v>893</v>
      </c>
      <c r="W114" s="830" t="s">
        <v>1437</v>
      </c>
      <c r="X114" s="128"/>
      <c r="Y114" s="843" t="s">
        <v>1018</v>
      </c>
      <c r="Z114" s="849">
        <v>0.1</v>
      </c>
      <c r="AA114" s="856" t="s">
        <v>1007</v>
      </c>
      <c r="AB114" s="865" t="s">
        <v>1440</v>
      </c>
      <c r="AC114" s="872" t="str">
        <f t="shared" si="2"/>
        <v>神奈川県伊勢原市</v>
      </c>
      <c r="AD114" s="884">
        <v>10.7</v>
      </c>
      <c r="AE114" s="865">
        <v>10.55</v>
      </c>
      <c r="AF114" s="875">
        <v>10.45</v>
      </c>
      <c r="AG114" s="44"/>
    </row>
    <row r="115" spans="22:33" ht="14.25">
      <c r="V115" s="840" t="s">
        <v>893</v>
      </c>
      <c r="W115" s="830" t="s">
        <v>1441</v>
      </c>
      <c r="X115" s="128"/>
      <c r="Y115" s="843" t="s">
        <v>1018</v>
      </c>
      <c r="Z115" s="849">
        <v>0.1</v>
      </c>
      <c r="AA115" s="856" t="s">
        <v>1007</v>
      </c>
      <c r="AB115" s="865" t="s">
        <v>1442</v>
      </c>
      <c r="AC115" s="872" t="str">
        <f t="shared" si="2"/>
        <v>神奈川県座間市</v>
      </c>
      <c r="AD115" s="884">
        <v>10.7</v>
      </c>
      <c r="AE115" s="865">
        <v>10.55</v>
      </c>
      <c r="AF115" s="875">
        <v>10.45</v>
      </c>
      <c r="AG115" s="44"/>
    </row>
    <row r="116" spans="22:33" ht="14.25">
      <c r="V116" s="840" t="s">
        <v>893</v>
      </c>
      <c r="W116" s="830" t="s">
        <v>1447</v>
      </c>
      <c r="X116" s="128"/>
      <c r="Y116" s="843" t="s">
        <v>1018</v>
      </c>
      <c r="Z116" s="849">
        <v>0.1</v>
      </c>
      <c r="AA116" s="856" t="s">
        <v>1007</v>
      </c>
      <c r="AB116" s="865" t="s">
        <v>1448</v>
      </c>
      <c r="AC116" s="872" t="str">
        <f t="shared" si="2"/>
        <v>神奈川県綾瀬市</v>
      </c>
      <c r="AD116" s="884">
        <v>10.7</v>
      </c>
      <c r="AE116" s="865">
        <v>10.55</v>
      </c>
      <c r="AF116" s="875">
        <v>10.45</v>
      </c>
      <c r="AG116" s="44"/>
    </row>
    <row r="117" spans="22:33" ht="14.25">
      <c r="V117" s="840" t="s">
        <v>893</v>
      </c>
      <c r="W117" s="830" t="s">
        <v>1449</v>
      </c>
      <c r="X117" s="128"/>
      <c r="Y117" s="843" t="s">
        <v>1018</v>
      </c>
      <c r="Z117" s="849">
        <v>0.1</v>
      </c>
      <c r="AA117" s="856" t="s">
        <v>1007</v>
      </c>
      <c r="AB117" s="865" t="s">
        <v>1346</v>
      </c>
      <c r="AC117" s="872" t="str">
        <f t="shared" si="2"/>
        <v>神奈川県葉山町</v>
      </c>
      <c r="AD117" s="884">
        <v>10.7</v>
      </c>
      <c r="AE117" s="865">
        <v>10.55</v>
      </c>
      <c r="AF117" s="875">
        <v>10.45</v>
      </c>
      <c r="AG117" s="44"/>
    </row>
    <row r="118" spans="22:33" ht="14.25">
      <c r="V118" s="840" t="s">
        <v>893</v>
      </c>
      <c r="W118" s="830" t="s">
        <v>1450</v>
      </c>
      <c r="X118" s="128"/>
      <c r="Y118" s="843" t="s">
        <v>1018</v>
      </c>
      <c r="Z118" s="849">
        <v>0.1</v>
      </c>
      <c r="AA118" s="856" t="s">
        <v>1007</v>
      </c>
      <c r="AB118" s="865" t="s">
        <v>454</v>
      </c>
      <c r="AC118" s="872" t="str">
        <f t="shared" si="2"/>
        <v>神奈川県寒川町</v>
      </c>
      <c r="AD118" s="884">
        <v>10.7</v>
      </c>
      <c r="AE118" s="865">
        <v>10.55</v>
      </c>
      <c r="AF118" s="875">
        <v>10.45</v>
      </c>
      <c r="AG118" s="44"/>
    </row>
    <row r="119" spans="22:33" ht="14.25">
      <c r="V119" s="840" t="s">
        <v>893</v>
      </c>
      <c r="W119" s="830" t="s">
        <v>498</v>
      </c>
      <c r="X119" s="128"/>
      <c r="Y119" s="843" t="s">
        <v>1018</v>
      </c>
      <c r="Z119" s="849">
        <v>0.1</v>
      </c>
      <c r="AA119" s="856" t="s">
        <v>1007</v>
      </c>
      <c r="AB119" s="865" t="s">
        <v>848</v>
      </c>
      <c r="AC119" s="872" t="str">
        <f t="shared" si="2"/>
        <v>神奈川県愛川町</v>
      </c>
      <c r="AD119" s="884">
        <v>10.7</v>
      </c>
      <c r="AE119" s="865">
        <v>10.55</v>
      </c>
      <c r="AF119" s="875">
        <v>10.45</v>
      </c>
      <c r="AG119" s="44"/>
    </row>
    <row r="120" spans="22:33" ht="14.25">
      <c r="V120" s="840" t="s">
        <v>893</v>
      </c>
      <c r="W120" s="830" t="s">
        <v>826</v>
      </c>
      <c r="X120" s="128"/>
      <c r="Y120" s="843" t="s">
        <v>1018</v>
      </c>
      <c r="Z120" s="849">
        <v>0.1</v>
      </c>
      <c r="AA120" s="856" t="s">
        <v>1336</v>
      </c>
      <c r="AB120" s="865" t="s">
        <v>690</v>
      </c>
      <c r="AC120" s="872" t="str">
        <f t="shared" si="2"/>
        <v>愛知県知立市</v>
      </c>
      <c r="AD120" s="884">
        <v>10.7</v>
      </c>
      <c r="AE120" s="865">
        <v>10.55</v>
      </c>
      <c r="AF120" s="875">
        <v>10.45</v>
      </c>
      <c r="AG120" s="44"/>
    </row>
    <row r="121" spans="22:33" ht="14.25">
      <c r="V121" s="840" t="s">
        <v>893</v>
      </c>
      <c r="W121" s="830" t="s">
        <v>1211</v>
      </c>
      <c r="X121" s="128"/>
      <c r="Y121" s="843" t="s">
        <v>1018</v>
      </c>
      <c r="Z121" s="849">
        <v>0.1</v>
      </c>
      <c r="AA121" s="856" t="s">
        <v>1336</v>
      </c>
      <c r="AB121" s="865" t="s">
        <v>120</v>
      </c>
      <c r="AC121" s="872" t="str">
        <f t="shared" si="2"/>
        <v>愛知県豊明市</v>
      </c>
      <c r="AD121" s="884">
        <v>10.7</v>
      </c>
      <c r="AE121" s="865">
        <v>10.55</v>
      </c>
      <c r="AF121" s="875">
        <v>10.45</v>
      </c>
      <c r="AG121" s="44"/>
    </row>
    <row r="122" spans="22:33" ht="14.25">
      <c r="V122" s="840" t="s">
        <v>893</v>
      </c>
      <c r="W122" s="830" t="s">
        <v>1451</v>
      </c>
      <c r="X122" s="128"/>
      <c r="Y122" s="843" t="s">
        <v>1018</v>
      </c>
      <c r="Z122" s="849">
        <v>0.1</v>
      </c>
      <c r="AA122" s="856" t="s">
        <v>1336</v>
      </c>
      <c r="AB122" s="865" t="s">
        <v>1453</v>
      </c>
      <c r="AC122" s="872" t="str">
        <f t="shared" si="2"/>
        <v>愛知県みよし市</v>
      </c>
      <c r="AD122" s="884">
        <v>10.7</v>
      </c>
      <c r="AE122" s="865">
        <v>10.55</v>
      </c>
      <c r="AF122" s="875">
        <v>10.45</v>
      </c>
      <c r="AG122" s="44"/>
    </row>
    <row r="123" spans="22:33" ht="14.25">
      <c r="V123" s="840" t="s">
        <v>893</v>
      </c>
      <c r="W123" s="830" t="s">
        <v>1459</v>
      </c>
      <c r="X123" s="128"/>
      <c r="Y123" s="843" t="s">
        <v>1018</v>
      </c>
      <c r="Z123" s="849">
        <v>0.1</v>
      </c>
      <c r="AA123" s="856" t="s">
        <v>1122</v>
      </c>
      <c r="AB123" s="865" t="s">
        <v>1461</v>
      </c>
      <c r="AC123" s="872" t="str">
        <f t="shared" si="2"/>
        <v>滋賀県大津市</v>
      </c>
      <c r="AD123" s="884">
        <v>10.7</v>
      </c>
      <c r="AE123" s="865">
        <v>10.55</v>
      </c>
      <c r="AF123" s="875">
        <v>10.45</v>
      </c>
      <c r="AG123" s="44"/>
    </row>
    <row r="124" spans="22:33" ht="14.25">
      <c r="V124" s="840" t="s">
        <v>893</v>
      </c>
      <c r="W124" s="830" t="s">
        <v>1386</v>
      </c>
      <c r="X124" s="128"/>
      <c r="Y124" s="843" t="s">
        <v>1018</v>
      </c>
      <c r="Z124" s="849">
        <v>0.1</v>
      </c>
      <c r="AA124" s="856" t="s">
        <v>1122</v>
      </c>
      <c r="AB124" s="865" t="s">
        <v>1463</v>
      </c>
      <c r="AC124" s="872" t="str">
        <f t="shared" si="2"/>
        <v>滋賀県草津市</v>
      </c>
      <c r="AD124" s="884">
        <v>10.7</v>
      </c>
      <c r="AE124" s="865">
        <v>10.55</v>
      </c>
      <c r="AF124" s="875">
        <v>10.45</v>
      </c>
      <c r="AG124" s="44"/>
    </row>
    <row r="125" spans="22:33" ht="14.25">
      <c r="V125" s="840" t="s">
        <v>893</v>
      </c>
      <c r="W125" s="830" t="s">
        <v>1464</v>
      </c>
      <c r="X125" s="128"/>
      <c r="Y125" s="843" t="s">
        <v>1018</v>
      </c>
      <c r="Z125" s="849">
        <v>0.1</v>
      </c>
      <c r="AA125" s="856" t="s">
        <v>1122</v>
      </c>
      <c r="AB125" s="865" t="s">
        <v>24</v>
      </c>
      <c r="AC125" s="872" t="str">
        <f t="shared" si="2"/>
        <v>滋賀県栗東市</v>
      </c>
      <c r="AD125" s="884">
        <v>10.7</v>
      </c>
      <c r="AE125" s="865">
        <v>10.55</v>
      </c>
      <c r="AF125" s="875">
        <v>10.45</v>
      </c>
      <c r="AG125" s="44"/>
    </row>
    <row r="126" spans="22:33" ht="14.25">
      <c r="V126" s="840" t="s">
        <v>893</v>
      </c>
      <c r="W126" s="830" t="s">
        <v>31</v>
      </c>
      <c r="X126" s="128"/>
      <c r="Y126" s="843" t="s">
        <v>1018</v>
      </c>
      <c r="Z126" s="849">
        <v>0.1</v>
      </c>
      <c r="AA126" s="856" t="s">
        <v>520</v>
      </c>
      <c r="AB126" s="865" t="s">
        <v>1466</v>
      </c>
      <c r="AC126" s="872" t="str">
        <f t="shared" si="2"/>
        <v>京都府京都市</v>
      </c>
      <c r="AD126" s="884">
        <v>10.7</v>
      </c>
      <c r="AE126" s="865">
        <v>10.55</v>
      </c>
      <c r="AF126" s="875">
        <v>10.45</v>
      </c>
      <c r="AG126" s="44"/>
    </row>
    <row r="127" spans="22:33" ht="14.25">
      <c r="V127" s="840" t="s">
        <v>893</v>
      </c>
      <c r="W127" s="830" t="s">
        <v>1118</v>
      </c>
      <c r="X127" s="128"/>
      <c r="Y127" s="843" t="s">
        <v>1018</v>
      </c>
      <c r="Z127" s="849">
        <v>0.1</v>
      </c>
      <c r="AA127" s="856" t="s">
        <v>520</v>
      </c>
      <c r="AB127" s="865" t="s">
        <v>1066</v>
      </c>
      <c r="AC127" s="872" t="str">
        <f t="shared" si="2"/>
        <v>京都府長岡京市</v>
      </c>
      <c r="AD127" s="884">
        <v>10.7</v>
      </c>
      <c r="AE127" s="865">
        <v>10.55</v>
      </c>
      <c r="AF127" s="875">
        <v>10.45</v>
      </c>
      <c r="AG127" s="44"/>
    </row>
    <row r="128" spans="22:33" ht="14.25">
      <c r="V128" s="840" t="s">
        <v>893</v>
      </c>
      <c r="W128" s="830" t="s">
        <v>1468</v>
      </c>
      <c r="X128" s="128"/>
      <c r="Y128" s="843" t="s">
        <v>1018</v>
      </c>
      <c r="Z128" s="849">
        <v>0.1</v>
      </c>
      <c r="AA128" s="856" t="s">
        <v>1143</v>
      </c>
      <c r="AB128" s="865" t="s">
        <v>638</v>
      </c>
      <c r="AC128" s="872" t="str">
        <f t="shared" si="2"/>
        <v>大阪府堺市</v>
      </c>
      <c r="AD128" s="884">
        <v>10.7</v>
      </c>
      <c r="AE128" s="865">
        <v>10.55</v>
      </c>
      <c r="AF128" s="875">
        <v>10.45</v>
      </c>
      <c r="AG128" s="44"/>
    </row>
    <row r="129" spans="22:33" ht="14.25">
      <c r="V129" s="840" t="s">
        <v>893</v>
      </c>
      <c r="W129" s="830" t="s">
        <v>1200</v>
      </c>
      <c r="X129" s="128"/>
      <c r="Y129" s="843" t="s">
        <v>1018</v>
      </c>
      <c r="Z129" s="849">
        <v>0.1</v>
      </c>
      <c r="AA129" s="856" t="s">
        <v>1143</v>
      </c>
      <c r="AB129" s="865" t="s">
        <v>621</v>
      </c>
      <c r="AC129" s="872" t="str">
        <f t="shared" si="2"/>
        <v>大阪府枚方市</v>
      </c>
      <c r="AD129" s="884">
        <v>10.7</v>
      </c>
      <c r="AE129" s="865">
        <v>10.55</v>
      </c>
      <c r="AF129" s="875">
        <v>10.45</v>
      </c>
      <c r="AG129" s="44"/>
    </row>
    <row r="130" spans="22:33" ht="14.25">
      <c r="V130" s="840" t="s">
        <v>893</v>
      </c>
      <c r="W130" s="830" t="s">
        <v>1470</v>
      </c>
      <c r="X130" s="128"/>
      <c r="Y130" s="843" t="s">
        <v>1018</v>
      </c>
      <c r="Z130" s="849">
        <v>0.1</v>
      </c>
      <c r="AA130" s="856" t="s">
        <v>1143</v>
      </c>
      <c r="AB130" s="865" t="s">
        <v>1471</v>
      </c>
      <c r="AC130" s="872" t="str">
        <f t="shared" si="2"/>
        <v>大阪府茨木市</v>
      </c>
      <c r="AD130" s="884">
        <v>10.7</v>
      </c>
      <c r="AE130" s="865">
        <v>10.55</v>
      </c>
      <c r="AF130" s="875">
        <v>10.45</v>
      </c>
      <c r="AG130" s="44"/>
    </row>
    <row r="131" spans="22:33" ht="14.25">
      <c r="V131" s="840" t="s">
        <v>893</v>
      </c>
      <c r="W131" s="830" t="s">
        <v>1473</v>
      </c>
      <c r="X131" s="128"/>
      <c r="Y131" s="843" t="s">
        <v>1018</v>
      </c>
      <c r="Z131" s="849">
        <v>0.1</v>
      </c>
      <c r="AA131" s="856" t="s">
        <v>1143</v>
      </c>
      <c r="AB131" s="865" t="s">
        <v>978</v>
      </c>
      <c r="AC131" s="872" t="str">
        <f t="shared" ref="AC131:AC194" si="3">AA131&amp;AB131</f>
        <v>大阪府八尾市</v>
      </c>
      <c r="AD131" s="884">
        <v>10.7</v>
      </c>
      <c r="AE131" s="865">
        <v>10.55</v>
      </c>
      <c r="AF131" s="875">
        <v>10.45</v>
      </c>
      <c r="AG131" s="44"/>
    </row>
    <row r="132" spans="22:33" ht="14.25">
      <c r="V132" s="840" t="s">
        <v>893</v>
      </c>
      <c r="W132" s="830" t="s">
        <v>1474</v>
      </c>
      <c r="X132" s="128"/>
      <c r="Y132" s="843" t="s">
        <v>1018</v>
      </c>
      <c r="Z132" s="849">
        <v>0.1</v>
      </c>
      <c r="AA132" s="856" t="s">
        <v>1143</v>
      </c>
      <c r="AB132" s="865" t="s">
        <v>1134</v>
      </c>
      <c r="AC132" s="872" t="str">
        <f t="shared" si="3"/>
        <v>大阪府松原市</v>
      </c>
      <c r="AD132" s="884">
        <v>10.7</v>
      </c>
      <c r="AE132" s="865">
        <v>10.55</v>
      </c>
      <c r="AF132" s="875">
        <v>10.45</v>
      </c>
      <c r="AG132" s="44"/>
    </row>
    <row r="133" spans="22:33" ht="14.25">
      <c r="V133" s="840" t="s">
        <v>893</v>
      </c>
      <c r="W133" s="830" t="s">
        <v>356</v>
      </c>
      <c r="X133" s="128"/>
      <c r="Y133" s="843" t="s">
        <v>1018</v>
      </c>
      <c r="Z133" s="849">
        <v>0.1</v>
      </c>
      <c r="AA133" s="856" t="s">
        <v>1143</v>
      </c>
      <c r="AB133" s="865" t="s">
        <v>313</v>
      </c>
      <c r="AC133" s="872" t="str">
        <f t="shared" si="3"/>
        <v>大阪府摂津市</v>
      </c>
      <c r="AD133" s="884">
        <v>10.7</v>
      </c>
      <c r="AE133" s="865">
        <v>10.55</v>
      </c>
      <c r="AF133" s="875">
        <v>10.45</v>
      </c>
      <c r="AG133" s="44"/>
    </row>
    <row r="134" spans="22:33" ht="14.25">
      <c r="V134" s="840" t="s">
        <v>893</v>
      </c>
      <c r="W134" s="830" t="s">
        <v>682</v>
      </c>
      <c r="X134" s="128"/>
      <c r="Y134" s="843" t="s">
        <v>1018</v>
      </c>
      <c r="Z134" s="849">
        <v>0.1</v>
      </c>
      <c r="AA134" s="856" t="s">
        <v>1143</v>
      </c>
      <c r="AB134" s="865" t="s">
        <v>1194</v>
      </c>
      <c r="AC134" s="872" t="str">
        <f t="shared" si="3"/>
        <v>大阪府高石市</v>
      </c>
      <c r="AD134" s="884">
        <v>10.7</v>
      </c>
      <c r="AE134" s="865">
        <v>10.55</v>
      </c>
      <c r="AF134" s="875">
        <v>10.45</v>
      </c>
      <c r="AG134" s="44"/>
    </row>
    <row r="135" spans="22:33" ht="14.25">
      <c r="V135" s="840" t="s">
        <v>893</v>
      </c>
      <c r="W135" s="830" t="s">
        <v>1478</v>
      </c>
      <c r="X135" s="128"/>
      <c r="Y135" s="843" t="s">
        <v>1018</v>
      </c>
      <c r="Z135" s="849">
        <v>0.1</v>
      </c>
      <c r="AA135" s="856" t="s">
        <v>1143</v>
      </c>
      <c r="AB135" s="865" t="s">
        <v>1435</v>
      </c>
      <c r="AC135" s="872" t="str">
        <f t="shared" si="3"/>
        <v>大阪府東大阪市</v>
      </c>
      <c r="AD135" s="884">
        <v>10.7</v>
      </c>
      <c r="AE135" s="865">
        <v>10.55</v>
      </c>
      <c r="AF135" s="875">
        <v>10.45</v>
      </c>
      <c r="AG135" s="44"/>
    </row>
    <row r="136" spans="22:33" ht="14.25">
      <c r="V136" s="840" t="s">
        <v>893</v>
      </c>
      <c r="W136" s="830" t="s">
        <v>353</v>
      </c>
      <c r="X136" s="128"/>
      <c r="Y136" s="843" t="s">
        <v>1018</v>
      </c>
      <c r="Z136" s="849">
        <v>0.1</v>
      </c>
      <c r="AA136" s="856" t="s">
        <v>1143</v>
      </c>
      <c r="AB136" s="865" t="s">
        <v>1481</v>
      </c>
      <c r="AC136" s="872" t="str">
        <f t="shared" si="3"/>
        <v>大阪府交野市</v>
      </c>
      <c r="AD136" s="884">
        <v>10.7</v>
      </c>
      <c r="AE136" s="865">
        <v>10.55</v>
      </c>
      <c r="AF136" s="875">
        <v>10.45</v>
      </c>
      <c r="AG136" s="44"/>
    </row>
    <row r="137" spans="22:33" ht="14.25">
      <c r="V137" s="840" t="s">
        <v>893</v>
      </c>
      <c r="W137" s="830" t="s">
        <v>398</v>
      </c>
      <c r="X137" s="128"/>
      <c r="Y137" s="843" t="s">
        <v>1018</v>
      </c>
      <c r="Z137" s="849">
        <v>0.1</v>
      </c>
      <c r="AA137" s="856" t="s">
        <v>1158</v>
      </c>
      <c r="AB137" s="865" t="s">
        <v>304</v>
      </c>
      <c r="AC137" s="872" t="str">
        <f t="shared" si="3"/>
        <v>兵庫県尼崎市</v>
      </c>
      <c r="AD137" s="884">
        <v>10.7</v>
      </c>
      <c r="AE137" s="865">
        <v>10.55</v>
      </c>
      <c r="AF137" s="875">
        <v>10.45</v>
      </c>
      <c r="AG137" s="44"/>
    </row>
    <row r="138" spans="22:33" ht="14.25">
      <c r="V138" s="840" t="s">
        <v>893</v>
      </c>
      <c r="W138" s="830" t="s">
        <v>1485</v>
      </c>
      <c r="X138" s="128"/>
      <c r="Y138" s="843" t="s">
        <v>1018</v>
      </c>
      <c r="Z138" s="849">
        <v>0.1</v>
      </c>
      <c r="AA138" s="856" t="s">
        <v>1158</v>
      </c>
      <c r="AB138" s="865" t="s">
        <v>1279</v>
      </c>
      <c r="AC138" s="872" t="str">
        <f t="shared" si="3"/>
        <v>兵庫県伊丹市</v>
      </c>
      <c r="AD138" s="884">
        <v>10.7</v>
      </c>
      <c r="AE138" s="865">
        <v>10.55</v>
      </c>
      <c r="AF138" s="875">
        <v>10.45</v>
      </c>
      <c r="AG138" s="44"/>
    </row>
    <row r="139" spans="22:33" ht="14.25">
      <c r="V139" s="840" t="s">
        <v>893</v>
      </c>
      <c r="W139" s="830" t="s">
        <v>1486</v>
      </c>
      <c r="X139" s="128"/>
      <c r="Y139" s="843" t="s">
        <v>1018</v>
      </c>
      <c r="Z139" s="849">
        <v>0.1</v>
      </c>
      <c r="AA139" s="856" t="s">
        <v>1158</v>
      </c>
      <c r="AB139" s="865" t="s">
        <v>942</v>
      </c>
      <c r="AC139" s="872" t="str">
        <f t="shared" si="3"/>
        <v>兵庫県川西市</v>
      </c>
      <c r="AD139" s="884">
        <v>10.7</v>
      </c>
      <c r="AE139" s="865">
        <v>10.55</v>
      </c>
      <c r="AF139" s="875">
        <v>10.45</v>
      </c>
      <c r="AG139" s="44"/>
    </row>
    <row r="140" spans="22:33" ht="14.25">
      <c r="V140" s="840" t="s">
        <v>893</v>
      </c>
      <c r="W140" s="830" t="s">
        <v>1487</v>
      </c>
      <c r="X140" s="128"/>
      <c r="Y140" s="843" t="s">
        <v>1018</v>
      </c>
      <c r="Z140" s="849">
        <v>0.1</v>
      </c>
      <c r="AA140" s="856" t="s">
        <v>1158</v>
      </c>
      <c r="AB140" s="865" t="s">
        <v>670</v>
      </c>
      <c r="AC140" s="872" t="str">
        <f t="shared" si="3"/>
        <v>兵庫県三田市</v>
      </c>
      <c r="AD140" s="884">
        <v>10.7</v>
      </c>
      <c r="AE140" s="865">
        <v>10.55</v>
      </c>
      <c r="AF140" s="875">
        <v>10.45</v>
      </c>
      <c r="AG140" s="44"/>
    </row>
    <row r="141" spans="22:33" ht="14.25">
      <c r="V141" s="840" t="s">
        <v>893</v>
      </c>
      <c r="W141" s="830" t="s">
        <v>1358</v>
      </c>
      <c r="X141" s="128"/>
      <c r="Y141" s="843" t="s">
        <v>1018</v>
      </c>
      <c r="Z141" s="849">
        <v>0.1</v>
      </c>
      <c r="AA141" s="856" t="s">
        <v>1221</v>
      </c>
      <c r="AB141" s="865" t="s">
        <v>238</v>
      </c>
      <c r="AC141" s="872" t="str">
        <f t="shared" si="3"/>
        <v>広島県広島市</v>
      </c>
      <c r="AD141" s="884">
        <v>10.7</v>
      </c>
      <c r="AE141" s="865">
        <v>10.55</v>
      </c>
      <c r="AF141" s="875">
        <v>10.45</v>
      </c>
      <c r="AG141" s="44"/>
    </row>
    <row r="142" spans="22:33" ht="14.25">
      <c r="V142" s="840" t="s">
        <v>893</v>
      </c>
      <c r="W142" s="830" t="s">
        <v>220</v>
      </c>
      <c r="X142" s="128"/>
      <c r="Y142" s="843" t="s">
        <v>1018</v>
      </c>
      <c r="Z142" s="849">
        <v>0.1</v>
      </c>
      <c r="AA142" s="856" t="s">
        <v>1221</v>
      </c>
      <c r="AB142" s="865" t="s">
        <v>1488</v>
      </c>
      <c r="AC142" s="872" t="str">
        <f t="shared" si="3"/>
        <v>広島県府中町</v>
      </c>
      <c r="AD142" s="884">
        <v>10.7</v>
      </c>
      <c r="AE142" s="865">
        <v>10.55</v>
      </c>
      <c r="AF142" s="875">
        <v>10.45</v>
      </c>
      <c r="AG142" s="44"/>
    </row>
    <row r="143" spans="22:33" ht="14.25">
      <c r="V143" s="840" t="s">
        <v>893</v>
      </c>
      <c r="W143" s="830" t="s">
        <v>190</v>
      </c>
      <c r="X143" s="128"/>
      <c r="Y143" s="843" t="s">
        <v>1018</v>
      </c>
      <c r="Z143" s="849">
        <v>0.1</v>
      </c>
      <c r="AA143" s="856" t="s">
        <v>1264</v>
      </c>
      <c r="AB143" s="865" t="s">
        <v>1490</v>
      </c>
      <c r="AC143" s="872" t="str">
        <f t="shared" si="3"/>
        <v>福岡県福岡市</v>
      </c>
      <c r="AD143" s="884">
        <v>10.7</v>
      </c>
      <c r="AE143" s="865">
        <v>10.55</v>
      </c>
      <c r="AF143" s="875">
        <v>10.45</v>
      </c>
      <c r="AG143" s="44"/>
    </row>
    <row r="144" spans="22:33" ht="14.25">
      <c r="V144" s="840" t="s">
        <v>893</v>
      </c>
      <c r="W144" s="830" t="s">
        <v>1491</v>
      </c>
      <c r="X144" s="128"/>
      <c r="Y144" s="844" t="s">
        <v>1018</v>
      </c>
      <c r="Z144" s="850">
        <v>0.1</v>
      </c>
      <c r="AA144" s="857" t="s">
        <v>1264</v>
      </c>
      <c r="AB144" s="866" t="s">
        <v>1492</v>
      </c>
      <c r="AC144" s="873" t="str">
        <f t="shared" si="3"/>
        <v>福岡県春日市</v>
      </c>
      <c r="AD144" s="885">
        <v>10.7</v>
      </c>
      <c r="AE144" s="866">
        <v>10.55</v>
      </c>
      <c r="AF144" s="878">
        <v>10.45</v>
      </c>
      <c r="AG144" s="44"/>
    </row>
    <row r="145" spans="22:33" ht="14.25">
      <c r="V145" s="840" t="s">
        <v>893</v>
      </c>
      <c r="W145" s="830" t="s">
        <v>988</v>
      </c>
      <c r="X145" s="128"/>
      <c r="Y145" s="845" t="s">
        <v>1079</v>
      </c>
      <c r="Z145" s="851">
        <v>6.e-002</v>
      </c>
      <c r="AA145" s="858" t="s">
        <v>625</v>
      </c>
      <c r="AB145" s="867" t="s">
        <v>1161</v>
      </c>
      <c r="AC145" s="874" t="str">
        <f t="shared" si="3"/>
        <v>宮城県仙台市</v>
      </c>
      <c r="AD145" s="886">
        <v>10.42</v>
      </c>
      <c r="AE145" s="867">
        <v>10.33</v>
      </c>
      <c r="AF145" s="874">
        <v>10.27</v>
      </c>
      <c r="AG145" s="44"/>
    </row>
    <row r="146" spans="22:33" ht="14.25">
      <c r="V146" s="840" t="s">
        <v>893</v>
      </c>
      <c r="W146" s="830" t="s">
        <v>534</v>
      </c>
      <c r="X146" s="128"/>
      <c r="Y146" s="843" t="s">
        <v>1079</v>
      </c>
      <c r="Z146" s="849">
        <v>6.e-002</v>
      </c>
      <c r="AA146" s="856" t="s">
        <v>625</v>
      </c>
      <c r="AB146" s="865" t="s">
        <v>1494</v>
      </c>
      <c r="AC146" s="875" t="str">
        <f t="shared" si="3"/>
        <v>宮城県多賀城市</v>
      </c>
      <c r="AD146" s="884">
        <v>10.42</v>
      </c>
      <c r="AE146" s="865">
        <v>10.33</v>
      </c>
      <c r="AF146" s="875">
        <v>10.27</v>
      </c>
      <c r="AG146" s="44"/>
    </row>
    <row r="147" spans="22:33" ht="14.25">
      <c r="V147" s="840" t="s">
        <v>893</v>
      </c>
      <c r="W147" s="830" t="s">
        <v>1111</v>
      </c>
      <c r="X147" s="128"/>
      <c r="Y147" s="843" t="s">
        <v>1079</v>
      </c>
      <c r="Z147" s="849">
        <v>6.e-002</v>
      </c>
      <c r="AA147" s="856" t="s">
        <v>719</v>
      </c>
      <c r="AB147" s="865" t="s">
        <v>380</v>
      </c>
      <c r="AC147" s="875" t="str">
        <f t="shared" si="3"/>
        <v>茨城県土浦市</v>
      </c>
      <c r="AD147" s="884">
        <v>10.42</v>
      </c>
      <c r="AE147" s="865">
        <v>10.33</v>
      </c>
      <c r="AF147" s="875">
        <v>10.27</v>
      </c>
      <c r="AG147" s="44"/>
    </row>
    <row r="148" spans="22:33" ht="14.25">
      <c r="V148" s="840" t="s">
        <v>893</v>
      </c>
      <c r="W148" s="830" t="s">
        <v>1495</v>
      </c>
      <c r="X148" s="128"/>
      <c r="Y148" s="843" t="s">
        <v>1079</v>
      </c>
      <c r="Z148" s="849">
        <v>6.e-002</v>
      </c>
      <c r="AA148" s="856" t="s">
        <v>719</v>
      </c>
      <c r="AB148" s="865" t="s">
        <v>1496</v>
      </c>
      <c r="AC148" s="875" t="str">
        <f t="shared" si="3"/>
        <v>茨城県古河市</v>
      </c>
      <c r="AD148" s="884">
        <v>10.42</v>
      </c>
      <c r="AE148" s="865">
        <v>10.33</v>
      </c>
      <c r="AF148" s="875">
        <v>10.27</v>
      </c>
      <c r="AG148" s="44"/>
    </row>
    <row r="149" spans="22:33" ht="14.25">
      <c r="V149" s="840" t="s">
        <v>893</v>
      </c>
      <c r="W149" s="830" t="s">
        <v>446</v>
      </c>
      <c r="X149" s="128"/>
      <c r="Y149" s="843" t="s">
        <v>1079</v>
      </c>
      <c r="Z149" s="849">
        <v>6.e-002</v>
      </c>
      <c r="AA149" s="856" t="s">
        <v>719</v>
      </c>
      <c r="AB149" s="865" t="s">
        <v>1497</v>
      </c>
      <c r="AC149" s="875" t="str">
        <f t="shared" si="3"/>
        <v>茨城県利根町</v>
      </c>
      <c r="AD149" s="884">
        <v>10.42</v>
      </c>
      <c r="AE149" s="865">
        <v>10.33</v>
      </c>
      <c r="AF149" s="875">
        <v>10.27</v>
      </c>
      <c r="AG149" s="44"/>
    </row>
    <row r="150" spans="22:33" ht="14.25">
      <c r="V150" s="840" t="s">
        <v>893</v>
      </c>
      <c r="W150" s="830" t="s">
        <v>1498</v>
      </c>
      <c r="X150" s="128"/>
      <c r="Y150" s="843" t="s">
        <v>1079</v>
      </c>
      <c r="Z150" s="849">
        <v>6.e-002</v>
      </c>
      <c r="AA150" s="856" t="s">
        <v>661</v>
      </c>
      <c r="AB150" s="865" t="s">
        <v>1500</v>
      </c>
      <c r="AC150" s="875" t="str">
        <f t="shared" si="3"/>
        <v>栃木県宇都宮市</v>
      </c>
      <c r="AD150" s="884">
        <v>10.42</v>
      </c>
      <c r="AE150" s="865">
        <v>10.33</v>
      </c>
      <c r="AF150" s="875">
        <v>10.27</v>
      </c>
      <c r="AG150" s="44"/>
    </row>
    <row r="151" spans="22:33" ht="14.25">
      <c r="V151" s="840" t="s">
        <v>893</v>
      </c>
      <c r="W151" s="830" t="s">
        <v>1036</v>
      </c>
      <c r="X151" s="128"/>
      <c r="Y151" s="843" t="s">
        <v>1079</v>
      </c>
      <c r="Z151" s="849">
        <v>6.e-002</v>
      </c>
      <c r="AA151" s="856" t="s">
        <v>661</v>
      </c>
      <c r="AB151" s="865" t="s">
        <v>1237</v>
      </c>
      <c r="AC151" s="875" t="str">
        <f t="shared" si="3"/>
        <v>栃木県野木町</v>
      </c>
      <c r="AD151" s="884">
        <v>10.42</v>
      </c>
      <c r="AE151" s="865">
        <v>10.33</v>
      </c>
      <c r="AF151" s="875">
        <v>10.27</v>
      </c>
      <c r="AG151" s="44"/>
    </row>
    <row r="152" spans="22:33" ht="14.25">
      <c r="V152" s="840" t="s">
        <v>893</v>
      </c>
      <c r="W152" s="830" t="s">
        <v>1504</v>
      </c>
      <c r="X152" s="128"/>
      <c r="Y152" s="843" t="s">
        <v>1079</v>
      </c>
      <c r="Z152" s="849">
        <v>6.e-002</v>
      </c>
      <c r="AA152" s="856" t="s">
        <v>969</v>
      </c>
      <c r="AB152" s="865" t="s">
        <v>1246</v>
      </c>
      <c r="AC152" s="875" t="str">
        <f t="shared" si="3"/>
        <v>群馬県高崎市</v>
      </c>
      <c r="AD152" s="884">
        <v>10.42</v>
      </c>
      <c r="AE152" s="865">
        <v>10.33</v>
      </c>
      <c r="AF152" s="875">
        <v>10.27</v>
      </c>
      <c r="AG152" s="44"/>
    </row>
    <row r="153" spans="22:33" ht="14.25">
      <c r="V153" s="840" t="s">
        <v>893</v>
      </c>
      <c r="W153" s="830" t="s">
        <v>1507</v>
      </c>
      <c r="X153" s="128"/>
      <c r="Y153" s="843" t="s">
        <v>1079</v>
      </c>
      <c r="Z153" s="849">
        <v>6.e-002</v>
      </c>
      <c r="AA153" s="856" t="s">
        <v>986</v>
      </c>
      <c r="AB153" s="865" t="s">
        <v>1508</v>
      </c>
      <c r="AC153" s="875" t="str">
        <f t="shared" si="3"/>
        <v>埼玉県川越市</v>
      </c>
      <c r="AD153" s="884">
        <v>10.42</v>
      </c>
      <c r="AE153" s="865">
        <v>10.33</v>
      </c>
      <c r="AF153" s="875">
        <v>10.27</v>
      </c>
      <c r="AG153" s="44"/>
    </row>
    <row r="154" spans="22:33" ht="14.25">
      <c r="V154" s="840" t="s">
        <v>893</v>
      </c>
      <c r="W154" s="830" t="s">
        <v>779</v>
      </c>
      <c r="X154" s="128"/>
      <c r="Y154" s="843" t="s">
        <v>1079</v>
      </c>
      <c r="Z154" s="849">
        <v>6.e-002</v>
      </c>
      <c r="AA154" s="856" t="s">
        <v>986</v>
      </c>
      <c r="AB154" s="865" t="s">
        <v>1172</v>
      </c>
      <c r="AC154" s="875" t="str">
        <f t="shared" si="3"/>
        <v>埼玉県行田市</v>
      </c>
      <c r="AD154" s="884">
        <v>10.42</v>
      </c>
      <c r="AE154" s="865">
        <v>10.33</v>
      </c>
      <c r="AF154" s="875">
        <v>10.27</v>
      </c>
      <c r="AG154" s="44"/>
    </row>
    <row r="155" spans="22:33" ht="14.25">
      <c r="V155" s="840" t="s">
        <v>893</v>
      </c>
      <c r="W155" s="830" t="s">
        <v>1294</v>
      </c>
      <c r="X155" s="128"/>
      <c r="Y155" s="843" t="s">
        <v>1079</v>
      </c>
      <c r="Z155" s="849">
        <v>6.e-002</v>
      </c>
      <c r="AA155" s="856" t="s">
        <v>986</v>
      </c>
      <c r="AB155" s="865" t="s">
        <v>1509</v>
      </c>
      <c r="AC155" s="875" t="str">
        <f t="shared" si="3"/>
        <v>埼玉県所沢市</v>
      </c>
      <c r="AD155" s="884">
        <v>10.42</v>
      </c>
      <c r="AE155" s="865">
        <v>10.33</v>
      </c>
      <c r="AF155" s="875">
        <v>10.27</v>
      </c>
      <c r="AG155" s="44"/>
    </row>
    <row r="156" spans="22:33" ht="14.25">
      <c r="V156" s="840" t="s">
        <v>893</v>
      </c>
      <c r="W156" s="830" t="s">
        <v>1511</v>
      </c>
      <c r="X156" s="128"/>
      <c r="Y156" s="843" t="s">
        <v>1079</v>
      </c>
      <c r="Z156" s="849">
        <v>6.e-002</v>
      </c>
      <c r="AA156" s="856" t="s">
        <v>986</v>
      </c>
      <c r="AB156" s="865" t="s">
        <v>1458</v>
      </c>
      <c r="AC156" s="875" t="str">
        <f t="shared" si="3"/>
        <v>埼玉県飯能市</v>
      </c>
      <c r="AD156" s="884">
        <v>10.42</v>
      </c>
      <c r="AE156" s="865">
        <v>10.33</v>
      </c>
      <c r="AF156" s="875">
        <v>10.27</v>
      </c>
      <c r="AG156" s="44"/>
    </row>
    <row r="157" spans="22:33" ht="14.25">
      <c r="V157" s="840" t="s">
        <v>893</v>
      </c>
      <c r="W157" s="830" t="s">
        <v>1512</v>
      </c>
      <c r="X157" s="128"/>
      <c r="Y157" s="843" t="s">
        <v>1079</v>
      </c>
      <c r="Z157" s="849">
        <v>6.e-002</v>
      </c>
      <c r="AA157" s="856" t="s">
        <v>986</v>
      </c>
      <c r="AB157" s="865" t="s">
        <v>1513</v>
      </c>
      <c r="AC157" s="875" t="str">
        <f t="shared" si="3"/>
        <v>埼玉県加須市</v>
      </c>
      <c r="AD157" s="884">
        <v>10.42</v>
      </c>
      <c r="AE157" s="865">
        <v>10.33</v>
      </c>
      <c r="AF157" s="875">
        <v>10.27</v>
      </c>
      <c r="AG157" s="44"/>
    </row>
    <row r="158" spans="22:33" ht="14.25">
      <c r="V158" s="840" t="s">
        <v>893</v>
      </c>
      <c r="W158" s="830" t="s">
        <v>700</v>
      </c>
      <c r="X158" s="128"/>
      <c r="Y158" s="843" t="s">
        <v>1079</v>
      </c>
      <c r="Z158" s="849">
        <v>6.e-002</v>
      </c>
      <c r="AA158" s="856" t="s">
        <v>986</v>
      </c>
      <c r="AB158" s="865" t="s">
        <v>344</v>
      </c>
      <c r="AC158" s="875" t="str">
        <f t="shared" si="3"/>
        <v>埼玉県東松山市</v>
      </c>
      <c r="AD158" s="884">
        <v>10.42</v>
      </c>
      <c r="AE158" s="865">
        <v>10.33</v>
      </c>
      <c r="AF158" s="875">
        <v>10.27</v>
      </c>
      <c r="AG158" s="44"/>
    </row>
    <row r="159" spans="22:33" ht="14.25">
      <c r="V159" s="840" t="s">
        <v>893</v>
      </c>
      <c r="W159" s="830" t="s">
        <v>1514</v>
      </c>
      <c r="X159" s="128"/>
      <c r="Y159" s="843" t="s">
        <v>1079</v>
      </c>
      <c r="Z159" s="849">
        <v>6.e-002</v>
      </c>
      <c r="AA159" s="856" t="s">
        <v>986</v>
      </c>
      <c r="AB159" s="865" t="s">
        <v>1515</v>
      </c>
      <c r="AC159" s="875" t="str">
        <f t="shared" si="3"/>
        <v>埼玉県春日部市</v>
      </c>
      <c r="AD159" s="884">
        <v>10.42</v>
      </c>
      <c r="AE159" s="865">
        <v>10.33</v>
      </c>
      <c r="AF159" s="875">
        <v>10.27</v>
      </c>
      <c r="AG159" s="44"/>
    </row>
    <row r="160" spans="22:33" ht="14.25">
      <c r="V160" s="840" t="s">
        <v>893</v>
      </c>
      <c r="W160" s="830" t="s">
        <v>1516</v>
      </c>
      <c r="X160" s="128"/>
      <c r="Y160" s="843" t="s">
        <v>1079</v>
      </c>
      <c r="Z160" s="849">
        <v>6.e-002</v>
      </c>
      <c r="AA160" s="856" t="s">
        <v>986</v>
      </c>
      <c r="AB160" s="865" t="s">
        <v>1245</v>
      </c>
      <c r="AC160" s="875" t="str">
        <f t="shared" si="3"/>
        <v>埼玉県狭山市</v>
      </c>
      <c r="AD160" s="884">
        <v>10.42</v>
      </c>
      <c r="AE160" s="865">
        <v>10.33</v>
      </c>
      <c r="AF160" s="875">
        <v>10.27</v>
      </c>
      <c r="AG160" s="44"/>
    </row>
    <row r="161" spans="22:33" ht="14.25">
      <c r="V161" s="840" t="s">
        <v>893</v>
      </c>
      <c r="W161" s="830" t="s">
        <v>1517</v>
      </c>
      <c r="X161" s="128"/>
      <c r="Y161" s="843" t="s">
        <v>1079</v>
      </c>
      <c r="Z161" s="849">
        <v>6.e-002</v>
      </c>
      <c r="AA161" s="856" t="s">
        <v>986</v>
      </c>
      <c r="AB161" s="865" t="s">
        <v>630</v>
      </c>
      <c r="AC161" s="875" t="str">
        <f t="shared" si="3"/>
        <v>埼玉県羽生市</v>
      </c>
      <c r="AD161" s="884">
        <v>10.42</v>
      </c>
      <c r="AE161" s="865">
        <v>10.33</v>
      </c>
      <c r="AF161" s="875">
        <v>10.27</v>
      </c>
      <c r="AG161" s="44"/>
    </row>
    <row r="162" spans="22:33" ht="14.25">
      <c r="V162" s="840" t="s">
        <v>893</v>
      </c>
      <c r="W162" s="830" t="s">
        <v>1152</v>
      </c>
      <c r="X162" s="128"/>
      <c r="Y162" s="843" t="s">
        <v>1079</v>
      </c>
      <c r="Z162" s="849">
        <v>6.e-002</v>
      </c>
      <c r="AA162" s="856" t="s">
        <v>986</v>
      </c>
      <c r="AB162" s="865" t="s">
        <v>107</v>
      </c>
      <c r="AC162" s="875" t="str">
        <f t="shared" si="3"/>
        <v>埼玉県鴻巣市</v>
      </c>
      <c r="AD162" s="884">
        <v>10.42</v>
      </c>
      <c r="AE162" s="865">
        <v>10.33</v>
      </c>
      <c r="AF162" s="875">
        <v>10.27</v>
      </c>
      <c r="AG162" s="44"/>
    </row>
    <row r="163" spans="22:33" ht="14.25">
      <c r="V163" s="840" t="s">
        <v>893</v>
      </c>
      <c r="W163" s="830" t="s">
        <v>968</v>
      </c>
      <c r="X163" s="128"/>
      <c r="Y163" s="843" t="s">
        <v>1079</v>
      </c>
      <c r="Z163" s="849">
        <v>6.e-002</v>
      </c>
      <c r="AA163" s="856" t="s">
        <v>986</v>
      </c>
      <c r="AB163" s="865" t="s">
        <v>1004</v>
      </c>
      <c r="AC163" s="875" t="str">
        <f t="shared" si="3"/>
        <v>埼玉県上尾市</v>
      </c>
      <c r="AD163" s="884">
        <v>10.42</v>
      </c>
      <c r="AE163" s="865">
        <v>10.33</v>
      </c>
      <c r="AF163" s="875">
        <v>10.27</v>
      </c>
      <c r="AG163" s="44"/>
    </row>
    <row r="164" spans="22:33" ht="14.25">
      <c r="V164" s="840" t="s">
        <v>893</v>
      </c>
      <c r="W164" s="830" t="s">
        <v>907</v>
      </c>
      <c r="X164" s="128"/>
      <c r="Y164" s="843" t="s">
        <v>1079</v>
      </c>
      <c r="Z164" s="849">
        <v>6.e-002</v>
      </c>
      <c r="AA164" s="856" t="s">
        <v>986</v>
      </c>
      <c r="AB164" s="865" t="s">
        <v>923</v>
      </c>
      <c r="AC164" s="875" t="str">
        <f t="shared" si="3"/>
        <v>埼玉県越谷市</v>
      </c>
      <c r="AD164" s="884">
        <v>10.42</v>
      </c>
      <c r="AE164" s="865">
        <v>10.33</v>
      </c>
      <c r="AF164" s="875">
        <v>10.27</v>
      </c>
      <c r="AG164" s="44"/>
    </row>
    <row r="165" spans="22:33" ht="14.25">
      <c r="V165" s="840" t="s">
        <v>893</v>
      </c>
      <c r="W165" s="830" t="s">
        <v>1518</v>
      </c>
      <c r="X165" s="128"/>
      <c r="Y165" s="843" t="s">
        <v>1079</v>
      </c>
      <c r="Z165" s="849">
        <v>6.e-002</v>
      </c>
      <c r="AA165" s="856" t="s">
        <v>986</v>
      </c>
      <c r="AB165" s="865" t="s">
        <v>258</v>
      </c>
      <c r="AC165" s="875" t="str">
        <f t="shared" si="3"/>
        <v>埼玉県蕨市</v>
      </c>
      <c r="AD165" s="884">
        <v>10.42</v>
      </c>
      <c r="AE165" s="865">
        <v>10.33</v>
      </c>
      <c r="AF165" s="875">
        <v>10.27</v>
      </c>
      <c r="AG165" s="44"/>
    </row>
    <row r="166" spans="22:33" ht="14.25">
      <c r="V166" s="840" t="s">
        <v>893</v>
      </c>
      <c r="W166" s="830" t="s">
        <v>142</v>
      </c>
      <c r="X166" s="128"/>
      <c r="Y166" s="843" t="s">
        <v>1079</v>
      </c>
      <c r="Z166" s="849">
        <v>6.e-002</v>
      </c>
      <c r="AA166" s="856" t="s">
        <v>986</v>
      </c>
      <c r="AB166" s="865" t="s">
        <v>137</v>
      </c>
      <c r="AC166" s="875" t="str">
        <f t="shared" si="3"/>
        <v>埼玉県入間市</v>
      </c>
      <c r="AD166" s="884">
        <v>10.42</v>
      </c>
      <c r="AE166" s="865">
        <v>10.33</v>
      </c>
      <c r="AF166" s="875">
        <v>10.27</v>
      </c>
      <c r="AG166" s="44"/>
    </row>
    <row r="167" spans="22:33" ht="14.25">
      <c r="V167" s="840" t="s">
        <v>893</v>
      </c>
      <c r="W167" s="830" t="s">
        <v>1519</v>
      </c>
      <c r="X167" s="128"/>
      <c r="Y167" s="843" t="s">
        <v>1079</v>
      </c>
      <c r="Z167" s="849">
        <v>6.e-002</v>
      </c>
      <c r="AA167" s="856" t="s">
        <v>986</v>
      </c>
      <c r="AB167" s="865" t="s">
        <v>598</v>
      </c>
      <c r="AC167" s="875" t="str">
        <f t="shared" si="3"/>
        <v>埼玉県桶川市</v>
      </c>
      <c r="AD167" s="884">
        <v>10.42</v>
      </c>
      <c r="AE167" s="865">
        <v>10.33</v>
      </c>
      <c r="AF167" s="875">
        <v>10.27</v>
      </c>
      <c r="AG167" s="44"/>
    </row>
    <row r="168" spans="22:33" ht="14.25">
      <c r="V168" s="840" t="s">
        <v>893</v>
      </c>
      <c r="W168" s="830" t="s">
        <v>1108</v>
      </c>
      <c r="X168" s="128"/>
      <c r="Y168" s="843" t="s">
        <v>1079</v>
      </c>
      <c r="Z168" s="849">
        <v>6.e-002</v>
      </c>
      <c r="AA168" s="856" t="s">
        <v>986</v>
      </c>
      <c r="AB168" s="865" t="s">
        <v>1521</v>
      </c>
      <c r="AC168" s="875" t="str">
        <f t="shared" si="3"/>
        <v>埼玉県久喜市</v>
      </c>
      <c r="AD168" s="884">
        <v>10.42</v>
      </c>
      <c r="AE168" s="865">
        <v>10.33</v>
      </c>
      <c r="AF168" s="875">
        <v>10.27</v>
      </c>
      <c r="AG168" s="44"/>
    </row>
    <row r="169" spans="22:33" ht="14.25">
      <c r="V169" s="840" t="s">
        <v>893</v>
      </c>
      <c r="W169" s="830" t="s">
        <v>1522</v>
      </c>
      <c r="X169" s="128"/>
      <c r="Y169" s="843" t="s">
        <v>1079</v>
      </c>
      <c r="Z169" s="849">
        <v>6.e-002</v>
      </c>
      <c r="AA169" s="856" t="s">
        <v>986</v>
      </c>
      <c r="AB169" s="865" t="s">
        <v>1452</v>
      </c>
      <c r="AC169" s="875" t="str">
        <f t="shared" si="3"/>
        <v>埼玉県北本市</v>
      </c>
      <c r="AD169" s="884">
        <v>10.42</v>
      </c>
      <c r="AE169" s="865">
        <v>10.33</v>
      </c>
      <c r="AF169" s="875">
        <v>10.27</v>
      </c>
      <c r="AG169" s="44"/>
    </row>
    <row r="170" spans="22:33" ht="14.25">
      <c r="V170" s="840" t="s">
        <v>893</v>
      </c>
      <c r="W170" s="830" t="s">
        <v>1523</v>
      </c>
      <c r="X170" s="128"/>
      <c r="Y170" s="843" t="s">
        <v>1079</v>
      </c>
      <c r="Z170" s="849">
        <v>6.e-002</v>
      </c>
      <c r="AA170" s="856" t="s">
        <v>986</v>
      </c>
      <c r="AB170" s="865" t="s">
        <v>196</v>
      </c>
      <c r="AC170" s="875" t="str">
        <f t="shared" si="3"/>
        <v>埼玉県富士見市</v>
      </c>
      <c r="AD170" s="884">
        <v>10.42</v>
      </c>
      <c r="AE170" s="865">
        <v>10.33</v>
      </c>
      <c r="AF170" s="875">
        <v>10.27</v>
      </c>
      <c r="AG170" s="44"/>
    </row>
    <row r="171" spans="22:33" ht="14.25">
      <c r="V171" s="840" t="s">
        <v>893</v>
      </c>
      <c r="W171" s="830" t="s">
        <v>1072</v>
      </c>
      <c r="X171" s="128"/>
      <c r="Y171" s="843" t="s">
        <v>1079</v>
      </c>
      <c r="Z171" s="849">
        <v>6.e-002</v>
      </c>
      <c r="AA171" s="856" t="s">
        <v>986</v>
      </c>
      <c r="AB171" s="865" t="s">
        <v>1525</v>
      </c>
      <c r="AC171" s="875" t="str">
        <f t="shared" si="3"/>
        <v>埼玉県三郷市</v>
      </c>
      <c r="AD171" s="884">
        <v>10.42</v>
      </c>
      <c r="AE171" s="865">
        <v>10.33</v>
      </c>
      <c r="AF171" s="875">
        <v>10.27</v>
      </c>
      <c r="AG171" s="44"/>
    </row>
    <row r="172" spans="22:33" ht="14.25">
      <c r="V172" s="840" t="s">
        <v>893</v>
      </c>
      <c r="W172" s="830" t="s">
        <v>806</v>
      </c>
      <c r="X172" s="128"/>
      <c r="Y172" s="843" t="s">
        <v>1079</v>
      </c>
      <c r="Z172" s="849">
        <v>6.e-002</v>
      </c>
      <c r="AA172" s="856" t="s">
        <v>986</v>
      </c>
      <c r="AB172" s="865" t="s">
        <v>593</v>
      </c>
      <c r="AC172" s="875" t="str">
        <f t="shared" si="3"/>
        <v>埼玉県蓮田市</v>
      </c>
      <c r="AD172" s="884">
        <v>10.42</v>
      </c>
      <c r="AE172" s="865">
        <v>10.33</v>
      </c>
      <c r="AF172" s="875">
        <v>10.27</v>
      </c>
      <c r="AG172" s="44"/>
    </row>
    <row r="173" spans="22:33" ht="14.25">
      <c r="V173" s="840" t="s">
        <v>893</v>
      </c>
      <c r="W173" s="830" t="s">
        <v>170</v>
      </c>
      <c r="X173" s="128"/>
      <c r="Y173" s="843" t="s">
        <v>1079</v>
      </c>
      <c r="Z173" s="849">
        <v>6.e-002</v>
      </c>
      <c r="AA173" s="856" t="s">
        <v>986</v>
      </c>
      <c r="AB173" s="865" t="s">
        <v>629</v>
      </c>
      <c r="AC173" s="875" t="str">
        <f t="shared" si="3"/>
        <v>埼玉県坂戸市</v>
      </c>
      <c r="AD173" s="884">
        <v>10.42</v>
      </c>
      <c r="AE173" s="865">
        <v>10.33</v>
      </c>
      <c r="AF173" s="875">
        <v>10.27</v>
      </c>
      <c r="AG173" s="44"/>
    </row>
    <row r="174" spans="22:33" ht="14.25">
      <c r="V174" s="840" t="s">
        <v>893</v>
      </c>
      <c r="W174" s="830" t="s">
        <v>395</v>
      </c>
      <c r="X174" s="128"/>
      <c r="Y174" s="843" t="s">
        <v>1079</v>
      </c>
      <c r="Z174" s="849">
        <v>6.e-002</v>
      </c>
      <c r="AA174" s="856" t="s">
        <v>986</v>
      </c>
      <c r="AB174" s="865" t="s">
        <v>1421</v>
      </c>
      <c r="AC174" s="875" t="str">
        <f t="shared" si="3"/>
        <v>埼玉県幸手市</v>
      </c>
      <c r="AD174" s="884">
        <v>10.42</v>
      </c>
      <c r="AE174" s="865">
        <v>10.33</v>
      </c>
      <c r="AF174" s="875">
        <v>10.27</v>
      </c>
      <c r="AG174" s="44"/>
    </row>
    <row r="175" spans="22:33" ht="14.25">
      <c r="V175" s="840" t="s">
        <v>893</v>
      </c>
      <c r="W175" s="830" t="s">
        <v>1526</v>
      </c>
      <c r="X175" s="128"/>
      <c r="Y175" s="843" t="s">
        <v>1079</v>
      </c>
      <c r="Z175" s="849">
        <v>6.e-002</v>
      </c>
      <c r="AA175" s="856" t="s">
        <v>986</v>
      </c>
      <c r="AB175" s="865" t="s">
        <v>1527</v>
      </c>
      <c r="AC175" s="875" t="str">
        <f t="shared" si="3"/>
        <v>埼玉県鶴ヶ島市</v>
      </c>
      <c r="AD175" s="884">
        <v>10.42</v>
      </c>
      <c r="AE175" s="865">
        <v>10.33</v>
      </c>
      <c r="AF175" s="875">
        <v>10.27</v>
      </c>
      <c r="AG175" s="44"/>
    </row>
    <row r="176" spans="22:33" ht="14.25">
      <c r="V176" s="840" t="s">
        <v>893</v>
      </c>
      <c r="W176" s="830" t="s">
        <v>1528</v>
      </c>
      <c r="X176" s="128"/>
      <c r="Y176" s="843" t="s">
        <v>1079</v>
      </c>
      <c r="Z176" s="849">
        <v>6.e-002</v>
      </c>
      <c r="AA176" s="856" t="s">
        <v>986</v>
      </c>
      <c r="AB176" s="865" t="s">
        <v>1261</v>
      </c>
      <c r="AC176" s="875" t="str">
        <f t="shared" si="3"/>
        <v>埼玉県吉川市</v>
      </c>
      <c r="AD176" s="884">
        <v>10.42</v>
      </c>
      <c r="AE176" s="865">
        <v>10.33</v>
      </c>
      <c r="AF176" s="875">
        <v>10.27</v>
      </c>
      <c r="AG176" s="44"/>
    </row>
    <row r="177" spans="22:33" ht="14.25">
      <c r="V177" s="840" t="s">
        <v>893</v>
      </c>
      <c r="W177" s="830" t="s">
        <v>1529</v>
      </c>
      <c r="X177" s="128"/>
      <c r="Y177" s="843" t="s">
        <v>1079</v>
      </c>
      <c r="Z177" s="849">
        <v>6.e-002</v>
      </c>
      <c r="AA177" s="856" t="s">
        <v>986</v>
      </c>
      <c r="AB177" s="865" t="s">
        <v>1530</v>
      </c>
      <c r="AC177" s="875" t="str">
        <f t="shared" si="3"/>
        <v>埼玉県白岡市</v>
      </c>
      <c r="AD177" s="884">
        <v>10.42</v>
      </c>
      <c r="AE177" s="865">
        <v>10.33</v>
      </c>
      <c r="AF177" s="875">
        <v>10.27</v>
      </c>
      <c r="AG177" s="44"/>
    </row>
    <row r="178" spans="22:33" ht="14.25">
      <c r="V178" s="840" t="s">
        <v>893</v>
      </c>
      <c r="W178" s="830" t="s">
        <v>1532</v>
      </c>
      <c r="X178" s="128"/>
      <c r="Y178" s="843" t="s">
        <v>1079</v>
      </c>
      <c r="Z178" s="849">
        <v>6.e-002</v>
      </c>
      <c r="AA178" s="856" t="s">
        <v>986</v>
      </c>
      <c r="AB178" s="865" t="s">
        <v>1534</v>
      </c>
      <c r="AC178" s="875" t="str">
        <f t="shared" si="3"/>
        <v>埼玉県伊奈町</v>
      </c>
      <c r="AD178" s="884">
        <v>10.42</v>
      </c>
      <c r="AE178" s="865">
        <v>10.33</v>
      </c>
      <c r="AF178" s="875">
        <v>10.27</v>
      </c>
      <c r="AG178" s="44"/>
    </row>
    <row r="179" spans="22:33" ht="14.25">
      <c r="V179" s="840" t="s">
        <v>893</v>
      </c>
      <c r="W179" s="830" t="s">
        <v>741</v>
      </c>
      <c r="X179" s="128"/>
      <c r="Y179" s="843" t="s">
        <v>1079</v>
      </c>
      <c r="Z179" s="849">
        <v>6.e-002</v>
      </c>
      <c r="AA179" s="856" t="s">
        <v>986</v>
      </c>
      <c r="AB179" s="865" t="s">
        <v>1535</v>
      </c>
      <c r="AC179" s="875" t="str">
        <f t="shared" si="3"/>
        <v>埼玉県三芳町</v>
      </c>
      <c r="AD179" s="884">
        <v>10.42</v>
      </c>
      <c r="AE179" s="865">
        <v>10.33</v>
      </c>
      <c r="AF179" s="875">
        <v>10.27</v>
      </c>
      <c r="AG179" s="44"/>
    </row>
    <row r="180" spans="22:33" ht="14.25">
      <c r="V180" s="840" t="s">
        <v>893</v>
      </c>
      <c r="W180" s="830" t="s">
        <v>359</v>
      </c>
      <c r="X180" s="128"/>
      <c r="Y180" s="843" t="s">
        <v>1079</v>
      </c>
      <c r="Z180" s="849">
        <v>6.e-002</v>
      </c>
      <c r="AA180" s="856" t="s">
        <v>986</v>
      </c>
      <c r="AB180" s="865" t="s">
        <v>111</v>
      </c>
      <c r="AC180" s="875" t="str">
        <f t="shared" si="3"/>
        <v>埼玉県宮代町</v>
      </c>
      <c r="AD180" s="884">
        <v>10.42</v>
      </c>
      <c r="AE180" s="865">
        <v>10.33</v>
      </c>
      <c r="AF180" s="875">
        <v>10.27</v>
      </c>
      <c r="AG180" s="44"/>
    </row>
    <row r="181" spans="22:33" ht="14.25">
      <c r="V181" s="840" t="s">
        <v>893</v>
      </c>
      <c r="W181" s="830" t="s">
        <v>1102</v>
      </c>
      <c r="X181" s="128"/>
      <c r="Y181" s="843" t="s">
        <v>1079</v>
      </c>
      <c r="Z181" s="849">
        <v>6.e-002</v>
      </c>
      <c r="AA181" s="856" t="s">
        <v>986</v>
      </c>
      <c r="AB181" s="865" t="s">
        <v>1536</v>
      </c>
      <c r="AC181" s="875" t="str">
        <f t="shared" si="3"/>
        <v>埼玉県杉戸町</v>
      </c>
      <c r="AD181" s="884">
        <v>10.42</v>
      </c>
      <c r="AE181" s="865">
        <v>10.33</v>
      </c>
      <c r="AF181" s="875">
        <v>10.27</v>
      </c>
      <c r="AG181" s="44"/>
    </row>
    <row r="182" spans="22:33" ht="14.25">
      <c r="V182" s="840" t="s">
        <v>893</v>
      </c>
      <c r="W182" s="830" t="s">
        <v>1218</v>
      </c>
      <c r="X182" s="128"/>
      <c r="Y182" s="843" t="s">
        <v>1079</v>
      </c>
      <c r="Z182" s="849">
        <v>6.e-002</v>
      </c>
      <c r="AA182" s="856" t="s">
        <v>986</v>
      </c>
      <c r="AB182" s="865" t="s">
        <v>205</v>
      </c>
      <c r="AC182" s="875" t="str">
        <f t="shared" si="3"/>
        <v>埼玉県松伏町</v>
      </c>
      <c r="AD182" s="884">
        <v>10.42</v>
      </c>
      <c r="AE182" s="865">
        <v>10.33</v>
      </c>
      <c r="AF182" s="875">
        <v>10.27</v>
      </c>
      <c r="AG182" s="44"/>
    </row>
    <row r="183" spans="22:33" ht="14.25">
      <c r="V183" s="840" t="s">
        <v>893</v>
      </c>
      <c r="W183" s="830" t="s">
        <v>219</v>
      </c>
      <c r="X183" s="128"/>
      <c r="Y183" s="843" t="s">
        <v>1079</v>
      </c>
      <c r="Z183" s="849">
        <v>6.e-002</v>
      </c>
      <c r="AA183" s="856" t="s">
        <v>96</v>
      </c>
      <c r="AB183" s="865" t="s">
        <v>837</v>
      </c>
      <c r="AC183" s="875" t="str">
        <f t="shared" si="3"/>
        <v>千葉県木更津市</v>
      </c>
      <c r="AD183" s="884">
        <v>10.42</v>
      </c>
      <c r="AE183" s="865">
        <v>10.33</v>
      </c>
      <c r="AF183" s="875">
        <v>10.27</v>
      </c>
      <c r="AG183" s="44"/>
    </row>
    <row r="184" spans="22:33" ht="14.25">
      <c r="V184" s="840" t="s">
        <v>893</v>
      </c>
      <c r="W184" s="830" t="s">
        <v>1133</v>
      </c>
      <c r="X184" s="128"/>
      <c r="Y184" s="843" t="s">
        <v>1079</v>
      </c>
      <c r="Z184" s="849">
        <v>6.e-002</v>
      </c>
      <c r="AA184" s="856" t="s">
        <v>96</v>
      </c>
      <c r="AB184" s="865" t="s">
        <v>1360</v>
      </c>
      <c r="AC184" s="875" t="str">
        <f t="shared" si="3"/>
        <v>千葉県野田市</v>
      </c>
      <c r="AD184" s="884">
        <v>10.42</v>
      </c>
      <c r="AE184" s="865">
        <v>10.33</v>
      </c>
      <c r="AF184" s="875">
        <v>10.27</v>
      </c>
      <c r="AG184" s="44"/>
    </row>
    <row r="185" spans="22:33" ht="14.25">
      <c r="V185" s="840" t="s">
        <v>893</v>
      </c>
      <c r="W185" s="830" t="s">
        <v>1026</v>
      </c>
      <c r="X185" s="128"/>
      <c r="Y185" s="843" t="s">
        <v>1079</v>
      </c>
      <c r="Z185" s="849">
        <v>6.e-002</v>
      </c>
      <c r="AA185" s="856" t="s">
        <v>96</v>
      </c>
      <c r="AB185" s="865" t="s">
        <v>1190</v>
      </c>
      <c r="AC185" s="875" t="str">
        <f t="shared" si="3"/>
        <v>千葉県茂原市</v>
      </c>
      <c r="AD185" s="884">
        <v>10.42</v>
      </c>
      <c r="AE185" s="865">
        <v>10.33</v>
      </c>
      <c r="AF185" s="875">
        <v>10.27</v>
      </c>
      <c r="AG185" s="44"/>
    </row>
    <row r="186" spans="22:33" ht="14.25">
      <c r="V186" s="840" t="s">
        <v>893</v>
      </c>
      <c r="W186" s="830" t="s">
        <v>742</v>
      </c>
      <c r="X186" s="128"/>
      <c r="Y186" s="843" t="s">
        <v>1079</v>
      </c>
      <c r="Z186" s="849">
        <v>6.e-002</v>
      </c>
      <c r="AA186" s="856" t="s">
        <v>96</v>
      </c>
      <c r="AB186" s="865" t="s">
        <v>1538</v>
      </c>
      <c r="AC186" s="875" t="str">
        <f t="shared" si="3"/>
        <v>千葉県柏市</v>
      </c>
      <c r="AD186" s="884">
        <v>10.42</v>
      </c>
      <c r="AE186" s="865">
        <v>10.33</v>
      </c>
      <c r="AF186" s="875">
        <v>10.27</v>
      </c>
      <c r="AG186" s="44"/>
    </row>
    <row r="187" spans="22:33">
      <c r="V187" s="840" t="s">
        <v>893</v>
      </c>
      <c r="W187" s="830" t="s">
        <v>657</v>
      </c>
      <c r="X187" s="128"/>
      <c r="Y187" s="843" t="s">
        <v>1079</v>
      </c>
      <c r="Z187" s="849">
        <v>6.e-002</v>
      </c>
      <c r="AA187" s="856" t="s">
        <v>96</v>
      </c>
      <c r="AB187" s="865" t="s">
        <v>1539</v>
      </c>
      <c r="AC187" s="875" t="str">
        <f t="shared" si="3"/>
        <v>千葉県流山市</v>
      </c>
      <c r="AD187" s="884">
        <v>10.42</v>
      </c>
      <c r="AE187" s="865">
        <v>10.33</v>
      </c>
      <c r="AF187" s="875">
        <v>10.27</v>
      </c>
      <c r="AG187" s="44"/>
    </row>
    <row r="188" spans="22:33">
      <c r="V188" s="830" t="s">
        <v>79</v>
      </c>
      <c r="W188" s="830" t="s">
        <v>1</v>
      </c>
      <c r="X188" s="128"/>
      <c r="Y188" s="843" t="s">
        <v>1079</v>
      </c>
      <c r="Z188" s="849">
        <v>6.e-002</v>
      </c>
      <c r="AA188" s="856" t="s">
        <v>96</v>
      </c>
      <c r="AB188" s="865" t="s">
        <v>1540</v>
      </c>
      <c r="AC188" s="875" t="str">
        <f t="shared" si="3"/>
        <v>千葉県我孫子市</v>
      </c>
      <c r="AD188" s="884">
        <v>10.42</v>
      </c>
      <c r="AE188" s="865">
        <v>10.33</v>
      </c>
      <c r="AF188" s="875">
        <v>10.27</v>
      </c>
      <c r="AG188" s="44"/>
    </row>
    <row r="189" spans="22:33">
      <c r="V189" s="830" t="s">
        <v>79</v>
      </c>
      <c r="W189" s="830" t="s">
        <v>1543</v>
      </c>
      <c r="X189" s="128"/>
      <c r="Y189" s="843" t="s">
        <v>1079</v>
      </c>
      <c r="Z189" s="849">
        <v>6.e-002</v>
      </c>
      <c r="AA189" s="856" t="s">
        <v>96</v>
      </c>
      <c r="AB189" s="865" t="s">
        <v>714</v>
      </c>
      <c r="AC189" s="875" t="str">
        <f t="shared" si="3"/>
        <v>千葉県鎌ケ谷市</v>
      </c>
      <c r="AD189" s="884">
        <v>10.42</v>
      </c>
      <c r="AE189" s="865">
        <v>10.33</v>
      </c>
      <c r="AF189" s="875">
        <v>10.27</v>
      </c>
      <c r="AG189" s="44"/>
    </row>
    <row r="190" spans="22:33">
      <c r="V190" s="830" t="s">
        <v>79</v>
      </c>
      <c r="W190" s="830" t="s">
        <v>1545</v>
      </c>
      <c r="X190" s="128"/>
      <c r="Y190" s="843" t="s">
        <v>1079</v>
      </c>
      <c r="Z190" s="849">
        <v>6.e-002</v>
      </c>
      <c r="AA190" s="856" t="s">
        <v>96</v>
      </c>
      <c r="AB190" s="865" t="s">
        <v>425</v>
      </c>
      <c r="AC190" s="875" t="str">
        <f t="shared" si="3"/>
        <v>千葉県白井市</v>
      </c>
      <c r="AD190" s="884">
        <v>10.42</v>
      </c>
      <c r="AE190" s="865">
        <v>10.33</v>
      </c>
      <c r="AF190" s="875">
        <v>10.27</v>
      </c>
      <c r="AG190" s="44"/>
    </row>
    <row r="191" spans="22:33">
      <c r="V191" s="830" t="s">
        <v>79</v>
      </c>
      <c r="W191" s="830" t="s">
        <v>1546</v>
      </c>
      <c r="X191" s="128"/>
      <c r="Y191" s="843" t="s">
        <v>1079</v>
      </c>
      <c r="Z191" s="849">
        <v>6.e-002</v>
      </c>
      <c r="AA191" s="856" t="s">
        <v>96</v>
      </c>
      <c r="AB191" s="865" t="s">
        <v>1547</v>
      </c>
      <c r="AC191" s="875" t="str">
        <f t="shared" si="3"/>
        <v>千葉県酒々井町</v>
      </c>
      <c r="AD191" s="884">
        <v>10.42</v>
      </c>
      <c r="AE191" s="865">
        <v>10.33</v>
      </c>
      <c r="AF191" s="875">
        <v>10.27</v>
      </c>
      <c r="AG191" s="44"/>
    </row>
    <row r="192" spans="22:33">
      <c r="V192" s="830" t="s">
        <v>79</v>
      </c>
      <c r="W192" s="830" t="s">
        <v>1320</v>
      </c>
      <c r="X192" s="128"/>
      <c r="Y192" s="843" t="s">
        <v>1079</v>
      </c>
      <c r="Z192" s="849">
        <v>6.e-002</v>
      </c>
      <c r="AA192" s="856" t="s">
        <v>385</v>
      </c>
      <c r="AB192" s="865" t="s">
        <v>1548</v>
      </c>
      <c r="AC192" s="875" t="str">
        <f t="shared" si="3"/>
        <v>東京都武蔵村山市</v>
      </c>
      <c r="AD192" s="884">
        <v>10.42</v>
      </c>
      <c r="AE192" s="865">
        <v>10.33</v>
      </c>
      <c r="AF192" s="875">
        <v>10.27</v>
      </c>
      <c r="AG192" s="44"/>
    </row>
    <row r="193" spans="22:33">
      <c r="V193" s="830" t="s">
        <v>79</v>
      </c>
      <c r="W193" s="830" t="s">
        <v>1549</v>
      </c>
      <c r="X193" s="128"/>
      <c r="Y193" s="843" t="s">
        <v>1079</v>
      </c>
      <c r="Z193" s="849">
        <v>6.e-002</v>
      </c>
      <c r="AA193" s="856" t="s">
        <v>385</v>
      </c>
      <c r="AB193" s="865" t="s">
        <v>113</v>
      </c>
      <c r="AC193" s="875" t="str">
        <f t="shared" si="3"/>
        <v>東京都羽村市</v>
      </c>
      <c r="AD193" s="884">
        <v>10.42</v>
      </c>
      <c r="AE193" s="865">
        <v>10.33</v>
      </c>
      <c r="AF193" s="875">
        <v>10.27</v>
      </c>
      <c r="AG193" s="44"/>
    </row>
    <row r="194" spans="22:33">
      <c r="V194" s="830" t="s">
        <v>79</v>
      </c>
      <c r="W194" s="830" t="s">
        <v>611</v>
      </c>
      <c r="X194" s="128"/>
      <c r="Y194" s="843" t="s">
        <v>1079</v>
      </c>
      <c r="Z194" s="849">
        <v>6.e-002</v>
      </c>
      <c r="AA194" s="856" t="s">
        <v>385</v>
      </c>
      <c r="AB194" s="865" t="s">
        <v>872</v>
      </c>
      <c r="AC194" s="875" t="str">
        <f t="shared" si="3"/>
        <v>東京都瑞穂町</v>
      </c>
      <c r="AD194" s="884">
        <v>10.42</v>
      </c>
      <c r="AE194" s="865">
        <v>10.33</v>
      </c>
      <c r="AF194" s="875">
        <v>10.27</v>
      </c>
      <c r="AG194" s="44"/>
    </row>
    <row r="195" spans="22:33">
      <c r="V195" s="830" t="s">
        <v>79</v>
      </c>
      <c r="W195" s="830" t="s">
        <v>1401</v>
      </c>
      <c r="X195" s="128"/>
      <c r="Y195" s="843" t="s">
        <v>1079</v>
      </c>
      <c r="Z195" s="849">
        <v>6.e-002</v>
      </c>
      <c r="AA195" s="856" t="s">
        <v>385</v>
      </c>
      <c r="AB195" s="865" t="s">
        <v>299</v>
      </c>
      <c r="AC195" s="875" t="str">
        <f t="shared" ref="AC195:AC258" si="4">AA195&amp;AB195</f>
        <v>東京都奥多摩町</v>
      </c>
      <c r="AD195" s="884">
        <v>10.42</v>
      </c>
      <c r="AE195" s="865">
        <v>10.33</v>
      </c>
      <c r="AF195" s="875">
        <v>10.27</v>
      </c>
      <c r="AG195" s="44"/>
    </row>
    <row r="196" spans="22:33">
      <c r="V196" s="830" t="s">
        <v>79</v>
      </c>
      <c r="W196" s="830" t="s">
        <v>1040</v>
      </c>
      <c r="X196" s="128"/>
      <c r="Y196" s="843" t="s">
        <v>1079</v>
      </c>
      <c r="Z196" s="849">
        <v>6.e-002</v>
      </c>
      <c r="AA196" s="856" t="s">
        <v>385</v>
      </c>
      <c r="AB196" s="865" t="s">
        <v>1550</v>
      </c>
      <c r="AC196" s="875" t="str">
        <f t="shared" si="4"/>
        <v>東京都檜原村</v>
      </c>
      <c r="AD196" s="884">
        <v>10.42</v>
      </c>
      <c r="AE196" s="865">
        <v>10.33</v>
      </c>
      <c r="AF196" s="875">
        <v>10.27</v>
      </c>
      <c r="AG196" s="44"/>
    </row>
    <row r="197" spans="22:33">
      <c r="V197" s="830" t="s">
        <v>79</v>
      </c>
      <c r="W197" s="830" t="s">
        <v>1551</v>
      </c>
      <c r="X197" s="128"/>
      <c r="Y197" s="843" t="s">
        <v>1079</v>
      </c>
      <c r="Z197" s="849">
        <v>6.e-002</v>
      </c>
      <c r="AA197" s="856" t="s">
        <v>1007</v>
      </c>
      <c r="AB197" s="865" t="s">
        <v>1553</v>
      </c>
      <c r="AC197" s="875" t="str">
        <f t="shared" si="4"/>
        <v>神奈川県秦野市</v>
      </c>
      <c r="AD197" s="884">
        <v>10.42</v>
      </c>
      <c r="AE197" s="865">
        <v>10.33</v>
      </c>
      <c r="AF197" s="875">
        <v>10.27</v>
      </c>
      <c r="AG197" s="44"/>
    </row>
    <row r="198" spans="22:33">
      <c r="V198" s="830" t="s">
        <v>79</v>
      </c>
      <c r="W198" s="830" t="s">
        <v>1554</v>
      </c>
      <c r="X198" s="128"/>
      <c r="Y198" s="843" t="s">
        <v>1079</v>
      </c>
      <c r="Z198" s="849">
        <v>6.e-002</v>
      </c>
      <c r="AA198" s="856" t="s">
        <v>1007</v>
      </c>
      <c r="AB198" s="865" t="s">
        <v>1555</v>
      </c>
      <c r="AC198" s="875" t="str">
        <f t="shared" si="4"/>
        <v>神奈川県大磯町</v>
      </c>
      <c r="AD198" s="884">
        <v>10.42</v>
      </c>
      <c r="AE198" s="865">
        <v>10.33</v>
      </c>
      <c r="AF198" s="875">
        <v>10.27</v>
      </c>
      <c r="AG198" s="44"/>
    </row>
    <row r="199" spans="22:33">
      <c r="V199" s="830" t="s">
        <v>79</v>
      </c>
      <c r="W199" s="830" t="s">
        <v>966</v>
      </c>
      <c r="X199" s="128"/>
      <c r="Y199" s="843" t="s">
        <v>1079</v>
      </c>
      <c r="Z199" s="849">
        <v>6.e-002</v>
      </c>
      <c r="AA199" s="856" t="s">
        <v>1007</v>
      </c>
      <c r="AB199" s="865" t="s">
        <v>1556</v>
      </c>
      <c r="AC199" s="875" t="str">
        <f t="shared" si="4"/>
        <v>神奈川県二宮町</v>
      </c>
      <c r="AD199" s="884">
        <v>10.42</v>
      </c>
      <c r="AE199" s="865">
        <v>10.33</v>
      </c>
      <c r="AF199" s="875">
        <v>10.27</v>
      </c>
      <c r="AG199" s="44"/>
    </row>
    <row r="200" spans="22:33">
      <c r="V200" s="830" t="s">
        <v>79</v>
      </c>
      <c r="W200" s="830" t="s">
        <v>42</v>
      </c>
      <c r="X200" s="128"/>
      <c r="Y200" s="843" t="s">
        <v>1079</v>
      </c>
      <c r="Z200" s="849">
        <v>6.e-002</v>
      </c>
      <c r="AA200" s="856" t="s">
        <v>1007</v>
      </c>
      <c r="AB200" s="865" t="s">
        <v>1557</v>
      </c>
      <c r="AC200" s="875" t="str">
        <f t="shared" si="4"/>
        <v>神奈川県中井町</v>
      </c>
      <c r="AD200" s="884">
        <v>10.42</v>
      </c>
      <c r="AE200" s="865">
        <v>10.33</v>
      </c>
      <c r="AF200" s="875">
        <v>10.27</v>
      </c>
      <c r="AG200" s="44"/>
    </row>
    <row r="201" spans="22:33">
      <c r="V201" s="830" t="s">
        <v>79</v>
      </c>
      <c r="W201" s="830" t="s">
        <v>1095</v>
      </c>
      <c r="X201" s="128"/>
      <c r="Y201" s="843" t="s">
        <v>1079</v>
      </c>
      <c r="Z201" s="849">
        <v>6.e-002</v>
      </c>
      <c r="AA201" s="856" t="s">
        <v>1007</v>
      </c>
      <c r="AB201" s="865" t="s">
        <v>1558</v>
      </c>
      <c r="AC201" s="875" t="str">
        <f t="shared" si="4"/>
        <v>神奈川県清川村</v>
      </c>
      <c r="AD201" s="884">
        <v>10.42</v>
      </c>
      <c r="AE201" s="865">
        <v>10.33</v>
      </c>
      <c r="AF201" s="875">
        <v>10.27</v>
      </c>
      <c r="AG201" s="44"/>
    </row>
    <row r="202" spans="22:33">
      <c r="V202" s="830" t="s">
        <v>79</v>
      </c>
      <c r="W202" s="830" t="s">
        <v>1560</v>
      </c>
      <c r="X202" s="128"/>
      <c r="Y202" s="843" t="s">
        <v>1079</v>
      </c>
      <c r="Z202" s="849">
        <v>6.e-002</v>
      </c>
      <c r="AA202" s="856" t="s">
        <v>180</v>
      </c>
      <c r="AB202" s="865" t="s">
        <v>84</v>
      </c>
      <c r="AC202" s="875" t="str">
        <f t="shared" si="4"/>
        <v>岐阜県岐阜市</v>
      </c>
      <c r="AD202" s="884">
        <v>10.42</v>
      </c>
      <c r="AE202" s="865">
        <v>10.33</v>
      </c>
      <c r="AF202" s="875">
        <v>10.27</v>
      </c>
      <c r="AG202" s="44"/>
    </row>
    <row r="203" spans="22:33">
      <c r="V203" s="830" t="s">
        <v>79</v>
      </c>
      <c r="W203" s="830" t="s">
        <v>1135</v>
      </c>
      <c r="X203" s="128"/>
      <c r="Y203" s="843" t="s">
        <v>1079</v>
      </c>
      <c r="Z203" s="849">
        <v>6.e-002</v>
      </c>
      <c r="AA203" s="856" t="s">
        <v>738</v>
      </c>
      <c r="AB203" s="865" t="s">
        <v>1561</v>
      </c>
      <c r="AC203" s="875" t="str">
        <f t="shared" si="4"/>
        <v>静岡県静岡市</v>
      </c>
      <c r="AD203" s="884">
        <v>10.42</v>
      </c>
      <c r="AE203" s="865">
        <v>10.33</v>
      </c>
      <c r="AF203" s="875">
        <v>10.27</v>
      </c>
      <c r="AG203" s="44"/>
    </row>
    <row r="204" spans="22:33">
      <c r="V204" s="830" t="s">
        <v>79</v>
      </c>
      <c r="W204" s="830" t="s">
        <v>1562</v>
      </c>
      <c r="X204" s="128"/>
      <c r="Y204" s="843" t="s">
        <v>1079</v>
      </c>
      <c r="Z204" s="849">
        <v>6.e-002</v>
      </c>
      <c r="AA204" s="856" t="s">
        <v>1098</v>
      </c>
      <c r="AB204" s="865" t="s">
        <v>1564</v>
      </c>
      <c r="AC204" s="875" t="str">
        <f t="shared" si="4"/>
        <v>愛知県岡崎市</v>
      </c>
      <c r="AD204" s="884">
        <v>10.42</v>
      </c>
      <c r="AE204" s="865">
        <v>10.33</v>
      </c>
      <c r="AF204" s="875">
        <v>10.27</v>
      </c>
      <c r="AG204" s="44"/>
    </row>
    <row r="205" spans="22:33">
      <c r="V205" s="830" t="s">
        <v>79</v>
      </c>
      <c r="W205" s="830" t="s">
        <v>1565</v>
      </c>
      <c r="X205" s="128"/>
      <c r="Y205" s="843" t="s">
        <v>1079</v>
      </c>
      <c r="Z205" s="849">
        <v>6.e-002</v>
      </c>
      <c r="AA205" s="856" t="s">
        <v>1098</v>
      </c>
      <c r="AB205" s="865" t="s">
        <v>1566</v>
      </c>
      <c r="AC205" s="875" t="str">
        <f t="shared" si="4"/>
        <v>愛知県一宮市</v>
      </c>
      <c r="AD205" s="884">
        <v>10.42</v>
      </c>
      <c r="AE205" s="865">
        <v>10.33</v>
      </c>
      <c r="AF205" s="875">
        <v>10.27</v>
      </c>
      <c r="AG205" s="44"/>
    </row>
    <row r="206" spans="22:33">
      <c r="V206" s="830" t="s">
        <v>79</v>
      </c>
      <c r="W206" s="830" t="s">
        <v>1277</v>
      </c>
      <c r="X206" s="128"/>
      <c r="Y206" s="843" t="s">
        <v>1079</v>
      </c>
      <c r="Z206" s="849">
        <v>6.e-002</v>
      </c>
      <c r="AA206" s="856" t="s">
        <v>1098</v>
      </c>
      <c r="AB206" s="865" t="s">
        <v>1567</v>
      </c>
      <c r="AC206" s="875" t="str">
        <f t="shared" si="4"/>
        <v>愛知県瀬戸市</v>
      </c>
      <c r="AD206" s="884">
        <v>10.42</v>
      </c>
      <c r="AE206" s="865">
        <v>10.33</v>
      </c>
      <c r="AF206" s="875">
        <v>10.27</v>
      </c>
      <c r="AG206" s="44"/>
    </row>
    <row r="207" spans="22:33">
      <c r="V207" s="830" t="s">
        <v>79</v>
      </c>
      <c r="W207" s="830" t="s">
        <v>1569</v>
      </c>
      <c r="X207" s="128"/>
      <c r="Y207" s="843" t="s">
        <v>1079</v>
      </c>
      <c r="Z207" s="849">
        <v>6.e-002</v>
      </c>
      <c r="AA207" s="856" t="s">
        <v>1098</v>
      </c>
      <c r="AB207" s="865" t="s">
        <v>577</v>
      </c>
      <c r="AC207" s="875" t="str">
        <f t="shared" si="4"/>
        <v>愛知県春日井市</v>
      </c>
      <c r="AD207" s="884">
        <v>10.42</v>
      </c>
      <c r="AE207" s="865">
        <v>10.33</v>
      </c>
      <c r="AF207" s="875">
        <v>10.27</v>
      </c>
      <c r="AG207" s="44"/>
    </row>
    <row r="208" spans="22:33">
      <c r="V208" s="830" t="s">
        <v>79</v>
      </c>
      <c r="W208" s="830" t="s">
        <v>1570</v>
      </c>
      <c r="X208" s="128"/>
      <c r="Y208" s="843" t="s">
        <v>1079</v>
      </c>
      <c r="Z208" s="849">
        <v>6.e-002</v>
      </c>
      <c r="AA208" s="856" t="s">
        <v>1098</v>
      </c>
      <c r="AB208" s="865" t="s">
        <v>701</v>
      </c>
      <c r="AC208" s="875" t="str">
        <f t="shared" si="4"/>
        <v>愛知県津島市</v>
      </c>
      <c r="AD208" s="884">
        <v>10.42</v>
      </c>
      <c r="AE208" s="865">
        <v>10.33</v>
      </c>
      <c r="AF208" s="875">
        <v>10.27</v>
      </c>
      <c r="AG208" s="44"/>
    </row>
    <row r="209" spans="22:33">
      <c r="V209" s="830" t="s">
        <v>79</v>
      </c>
      <c r="W209" s="830" t="s">
        <v>1574</v>
      </c>
      <c r="X209" s="128"/>
      <c r="Y209" s="843" t="s">
        <v>1079</v>
      </c>
      <c r="Z209" s="849">
        <v>6.e-002</v>
      </c>
      <c r="AA209" s="856" t="s">
        <v>1098</v>
      </c>
      <c r="AB209" s="865" t="s">
        <v>1020</v>
      </c>
      <c r="AC209" s="875" t="str">
        <f t="shared" si="4"/>
        <v>愛知県碧南市</v>
      </c>
      <c r="AD209" s="884">
        <v>10.42</v>
      </c>
      <c r="AE209" s="865">
        <v>10.33</v>
      </c>
      <c r="AF209" s="875">
        <v>10.27</v>
      </c>
      <c r="AG209" s="44"/>
    </row>
    <row r="210" spans="22:33">
      <c r="V210" s="830" t="s">
        <v>79</v>
      </c>
      <c r="W210" s="830" t="s">
        <v>1125</v>
      </c>
      <c r="X210" s="128"/>
      <c r="Y210" s="843" t="s">
        <v>1079</v>
      </c>
      <c r="Z210" s="849">
        <v>6.e-002</v>
      </c>
      <c r="AA210" s="856" t="s">
        <v>1098</v>
      </c>
      <c r="AB210" s="865" t="s">
        <v>880</v>
      </c>
      <c r="AC210" s="875" t="str">
        <f t="shared" si="4"/>
        <v>愛知県安城市</v>
      </c>
      <c r="AD210" s="884">
        <v>10.42</v>
      </c>
      <c r="AE210" s="865">
        <v>10.33</v>
      </c>
      <c r="AF210" s="875">
        <v>10.27</v>
      </c>
      <c r="AG210" s="44"/>
    </row>
    <row r="211" spans="22:33">
      <c r="V211" s="830" t="s">
        <v>79</v>
      </c>
      <c r="W211" s="830" t="s">
        <v>1575</v>
      </c>
      <c r="X211" s="128"/>
      <c r="Y211" s="843" t="s">
        <v>1079</v>
      </c>
      <c r="Z211" s="849">
        <v>6.e-002</v>
      </c>
      <c r="AA211" s="856" t="s">
        <v>1098</v>
      </c>
      <c r="AB211" s="865" t="s">
        <v>1350</v>
      </c>
      <c r="AC211" s="875" t="str">
        <f t="shared" si="4"/>
        <v>愛知県西尾市</v>
      </c>
      <c r="AD211" s="884">
        <v>10.42</v>
      </c>
      <c r="AE211" s="865">
        <v>10.33</v>
      </c>
      <c r="AF211" s="875">
        <v>10.27</v>
      </c>
      <c r="AG211" s="44"/>
    </row>
    <row r="212" spans="22:33">
      <c r="V212" s="830" t="s">
        <v>79</v>
      </c>
      <c r="W212" s="830" t="s">
        <v>1576</v>
      </c>
      <c r="X212" s="128"/>
      <c r="Y212" s="843" t="s">
        <v>1079</v>
      </c>
      <c r="Z212" s="849">
        <v>6.e-002</v>
      </c>
      <c r="AA212" s="856" t="s">
        <v>1098</v>
      </c>
      <c r="AB212" s="865" t="s">
        <v>1577</v>
      </c>
      <c r="AC212" s="875" t="str">
        <f t="shared" si="4"/>
        <v>愛知県犬山市</v>
      </c>
      <c r="AD212" s="884">
        <v>10.42</v>
      </c>
      <c r="AE212" s="865">
        <v>10.33</v>
      </c>
      <c r="AF212" s="875">
        <v>10.27</v>
      </c>
      <c r="AG212" s="44"/>
    </row>
    <row r="213" spans="22:33">
      <c r="V213" s="830" t="s">
        <v>79</v>
      </c>
      <c r="W213" s="830" t="s">
        <v>1578</v>
      </c>
      <c r="X213" s="128"/>
      <c r="Y213" s="843" t="s">
        <v>1079</v>
      </c>
      <c r="Z213" s="849">
        <v>6.e-002</v>
      </c>
      <c r="AA213" s="856" t="s">
        <v>1098</v>
      </c>
      <c r="AB213" s="865" t="s">
        <v>1579</v>
      </c>
      <c r="AC213" s="875" t="str">
        <f t="shared" si="4"/>
        <v>愛知県江南市</v>
      </c>
      <c r="AD213" s="884">
        <v>10.42</v>
      </c>
      <c r="AE213" s="865">
        <v>10.33</v>
      </c>
      <c r="AF213" s="875">
        <v>10.27</v>
      </c>
      <c r="AG213" s="44"/>
    </row>
    <row r="214" spans="22:33">
      <c r="V214" s="830" t="s">
        <v>79</v>
      </c>
      <c r="W214" s="830" t="s">
        <v>1580</v>
      </c>
      <c r="X214" s="128"/>
      <c r="Y214" s="843" t="s">
        <v>1079</v>
      </c>
      <c r="Z214" s="849">
        <v>6.e-002</v>
      </c>
      <c r="AA214" s="856" t="s">
        <v>1098</v>
      </c>
      <c r="AB214" s="865" t="s">
        <v>1581</v>
      </c>
      <c r="AC214" s="875" t="str">
        <f t="shared" si="4"/>
        <v>愛知県稲沢市</v>
      </c>
      <c r="AD214" s="884">
        <v>10.42</v>
      </c>
      <c r="AE214" s="865">
        <v>10.33</v>
      </c>
      <c r="AF214" s="875">
        <v>10.27</v>
      </c>
      <c r="AG214" s="44"/>
    </row>
    <row r="215" spans="22:33">
      <c r="V215" s="830" t="s">
        <v>79</v>
      </c>
      <c r="W215" s="830" t="s">
        <v>1582</v>
      </c>
      <c r="X215" s="128"/>
      <c r="Y215" s="843" t="s">
        <v>1079</v>
      </c>
      <c r="Z215" s="849">
        <v>6.e-002</v>
      </c>
      <c r="AA215" s="856" t="s">
        <v>1098</v>
      </c>
      <c r="AB215" s="865" t="s">
        <v>1583</v>
      </c>
      <c r="AC215" s="875" t="str">
        <f t="shared" si="4"/>
        <v>愛知県尾張旭市</v>
      </c>
      <c r="AD215" s="884">
        <v>10.42</v>
      </c>
      <c r="AE215" s="865">
        <v>10.33</v>
      </c>
      <c r="AF215" s="875">
        <v>10.27</v>
      </c>
      <c r="AG215" s="44"/>
    </row>
    <row r="216" spans="22:33">
      <c r="V216" s="830" t="s">
        <v>79</v>
      </c>
      <c r="W216" s="830" t="s">
        <v>1584</v>
      </c>
      <c r="X216" s="128"/>
      <c r="Y216" s="843" t="s">
        <v>1079</v>
      </c>
      <c r="Z216" s="849">
        <v>6.e-002</v>
      </c>
      <c r="AA216" s="856" t="s">
        <v>1098</v>
      </c>
      <c r="AB216" s="865" t="s">
        <v>699</v>
      </c>
      <c r="AC216" s="875" t="str">
        <f t="shared" si="4"/>
        <v>愛知県岩倉市</v>
      </c>
      <c r="AD216" s="884">
        <v>10.42</v>
      </c>
      <c r="AE216" s="865">
        <v>10.33</v>
      </c>
      <c r="AF216" s="875">
        <v>10.27</v>
      </c>
      <c r="AG216" s="44"/>
    </row>
    <row r="217" spans="22:33">
      <c r="V217" s="830" t="s">
        <v>79</v>
      </c>
      <c r="W217" s="830" t="s">
        <v>91</v>
      </c>
      <c r="X217" s="128"/>
      <c r="Y217" s="843" t="s">
        <v>1079</v>
      </c>
      <c r="Z217" s="849">
        <v>6.e-002</v>
      </c>
      <c r="AA217" s="856" t="s">
        <v>1098</v>
      </c>
      <c r="AB217" s="865" t="s">
        <v>573</v>
      </c>
      <c r="AC217" s="875" t="str">
        <f t="shared" si="4"/>
        <v>愛知県日進市</v>
      </c>
      <c r="AD217" s="884">
        <v>10.42</v>
      </c>
      <c r="AE217" s="865">
        <v>10.33</v>
      </c>
      <c r="AF217" s="875">
        <v>10.27</v>
      </c>
      <c r="AG217" s="44"/>
    </row>
    <row r="218" spans="22:33">
      <c r="V218" s="830" t="s">
        <v>79</v>
      </c>
      <c r="W218" s="830" t="s">
        <v>1586</v>
      </c>
      <c r="X218" s="128"/>
      <c r="Y218" s="843" t="s">
        <v>1079</v>
      </c>
      <c r="Z218" s="849">
        <v>6.e-002</v>
      </c>
      <c r="AA218" s="856" t="s">
        <v>1098</v>
      </c>
      <c r="AB218" s="865" t="s">
        <v>426</v>
      </c>
      <c r="AC218" s="875" t="str">
        <f t="shared" si="4"/>
        <v>愛知県愛西市</v>
      </c>
      <c r="AD218" s="884">
        <v>10.42</v>
      </c>
      <c r="AE218" s="865">
        <v>10.33</v>
      </c>
      <c r="AF218" s="875">
        <v>10.27</v>
      </c>
      <c r="AG218" s="44"/>
    </row>
    <row r="219" spans="22:33">
      <c r="V219" s="830" t="s">
        <v>79</v>
      </c>
      <c r="W219" s="830" t="s">
        <v>909</v>
      </c>
      <c r="X219" s="128"/>
      <c r="Y219" s="843" t="s">
        <v>1079</v>
      </c>
      <c r="Z219" s="849">
        <v>6.e-002</v>
      </c>
      <c r="AA219" s="856" t="s">
        <v>1098</v>
      </c>
      <c r="AB219" s="865" t="s">
        <v>1589</v>
      </c>
      <c r="AC219" s="875" t="str">
        <f t="shared" si="4"/>
        <v>愛知県清須市</v>
      </c>
      <c r="AD219" s="884">
        <v>10.42</v>
      </c>
      <c r="AE219" s="865">
        <v>10.33</v>
      </c>
      <c r="AF219" s="875">
        <v>10.27</v>
      </c>
      <c r="AG219" s="44"/>
    </row>
    <row r="220" spans="22:33">
      <c r="V220" s="830" t="s">
        <v>79</v>
      </c>
      <c r="W220" s="830" t="s">
        <v>1592</v>
      </c>
      <c r="X220" s="128"/>
      <c r="Y220" s="843" t="s">
        <v>1079</v>
      </c>
      <c r="Z220" s="849">
        <v>6.e-002</v>
      </c>
      <c r="AA220" s="856" t="s">
        <v>1098</v>
      </c>
      <c r="AB220" s="865" t="s">
        <v>1482</v>
      </c>
      <c r="AC220" s="875" t="str">
        <f t="shared" si="4"/>
        <v>愛知県北名古屋市</v>
      </c>
      <c r="AD220" s="884">
        <v>10.42</v>
      </c>
      <c r="AE220" s="865">
        <v>10.33</v>
      </c>
      <c r="AF220" s="875">
        <v>10.27</v>
      </c>
      <c r="AG220" s="44"/>
    </row>
    <row r="221" spans="22:33">
      <c r="V221" s="830" t="s">
        <v>79</v>
      </c>
      <c r="W221" s="830" t="s">
        <v>1212</v>
      </c>
      <c r="X221" s="128"/>
      <c r="Y221" s="843" t="s">
        <v>1079</v>
      </c>
      <c r="Z221" s="849">
        <v>6.e-002</v>
      </c>
      <c r="AA221" s="856" t="s">
        <v>1098</v>
      </c>
      <c r="AB221" s="865" t="s">
        <v>879</v>
      </c>
      <c r="AC221" s="875" t="str">
        <f t="shared" si="4"/>
        <v>愛知県弥富市</v>
      </c>
      <c r="AD221" s="884">
        <v>10.42</v>
      </c>
      <c r="AE221" s="865">
        <v>10.33</v>
      </c>
      <c r="AF221" s="875">
        <v>10.27</v>
      </c>
      <c r="AG221" s="44"/>
    </row>
    <row r="222" spans="22:33">
      <c r="V222" s="830" t="s">
        <v>79</v>
      </c>
      <c r="W222" s="830" t="s">
        <v>1595</v>
      </c>
      <c r="X222" s="128"/>
      <c r="Y222" s="843" t="s">
        <v>1079</v>
      </c>
      <c r="Z222" s="849">
        <v>6.e-002</v>
      </c>
      <c r="AA222" s="856" t="s">
        <v>1098</v>
      </c>
      <c r="AB222" s="865" t="s">
        <v>1596</v>
      </c>
      <c r="AC222" s="875" t="str">
        <f t="shared" si="4"/>
        <v>愛知県あま市</v>
      </c>
      <c r="AD222" s="884">
        <v>10.42</v>
      </c>
      <c r="AE222" s="865">
        <v>10.33</v>
      </c>
      <c r="AF222" s="875">
        <v>10.27</v>
      </c>
      <c r="AG222" s="44"/>
    </row>
    <row r="223" spans="22:33">
      <c r="V223" s="830" t="s">
        <v>79</v>
      </c>
      <c r="W223" s="830" t="s">
        <v>1597</v>
      </c>
      <c r="X223" s="128"/>
      <c r="Y223" s="843" t="s">
        <v>1079</v>
      </c>
      <c r="Z223" s="849">
        <v>6.e-002</v>
      </c>
      <c r="AA223" s="856" t="s">
        <v>1098</v>
      </c>
      <c r="AB223" s="865" t="s">
        <v>1598</v>
      </c>
      <c r="AC223" s="875" t="str">
        <f t="shared" si="4"/>
        <v>愛知県長久手市</v>
      </c>
      <c r="AD223" s="884">
        <v>10.42</v>
      </c>
      <c r="AE223" s="865">
        <v>10.33</v>
      </c>
      <c r="AF223" s="875">
        <v>10.27</v>
      </c>
      <c r="AG223" s="44"/>
    </row>
    <row r="224" spans="22:33">
      <c r="V224" s="830" t="s">
        <v>79</v>
      </c>
      <c r="W224" s="830" t="s">
        <v>1600</v>
      </c>
      <c r="X224" s="128"/>
      <c r="Y224" s="843" t="s">
        <v>1079</v>
      </c>
      <c r="Z224" s="849">
        <v>6.e-002</v>
      </c>
      <c r="AA224" s="856" t="s">
        <v>1098</v>
      </c>
      <c r="AB224" s="865" t="s">
        <v>581</v>
      </c>
      <c r="AC224" s="875" t="str">
        <f t="shared" si="4"/>
        <v>愛知県東郷町</v>
      </c>
      <c r="AD224" s="884">
        <v>10.42</v>
      </c>
      <c r="AE224" s="865">
        <v>10.33</v>
      </c>
      <c r="AF224" s="875">
        <v>10.27</v>
      </c>
      <c r="AG224" s="44"/>
    </row>
    <row r="225" spans="22:33">
      <c r="V225" s="830" t="s">
        <v>79</v>
      </c>
      <c r="W225" s="830" t="s">
        <v>1288</v>
      </c>
      <c r="X225" s="128"/>
      <c r="Y225" s="843" t="s">
        <v>1079</v>
      </c>
      <c r="Z225" s="849">
        <v>6.e-002</v>
      </c>
      <c r="AA225" s="856" t="s">
        <v>1098</v>
      </c>
      <c r="AB225" s="865" t="s">
        <v>1601</v>
      </c>
      <c r="AC225" s="875" t="str">
        <f t="shared" si="4"/>
        <v>愛知県大治町</v>
      </c>
      <c r="AD225" s="884">
        <v>10.42</v>
      </c>
      <c r="AE225" s="865">
        <v>10.33</v>
      </c>
      <c r="AF225" s="875">
        <v>10.27</v>
      </c>
      <c r="AG225" s="44"/>
    </row>
    <row r="226" spans="22:33">
      <c r="V226" s="830" t="s">
        <v>79</v>
      </c>
      <c r="W226" s="830" t="s">
        <v>1030</v>
      </c>
      <c r="X226" s="128"/>
      <c r="Y226" s="843" t="s">
        <v>1079</v>
      </c>
      <c r="Z226" s="849">
        <v>6.e-002</v>
      </c>
      <c r="AA226" s="856" t="s">
        <v>1098</v>
      </c>
      <c r="AB226" s="865" t="s">
        <v>687</v>
      </c>
      <c r="AC226" s="875" t="str">
        <f t="shared" si="4"/>
        <v>愛知県蟹江町</v>
      </c>
      <c r="AD226" s="884">
        <v>10.42</v>
      </c>
      <c r="AE226" s="865">
        <v>10.33</v>
      </c>
      <c r="AF226" s="875">
        <v>10.27</v>
      </c>
      <c r="AG226" s="44"/>
    </row>
    <row r="227" spans="22:33">
      <c r="V227" s="830" t="s">
        <v>79</v>
      </c>
      <c r="W227" s="830" t="s">
        <v>1605</v>
      </c>
      <c r="X227" s="128"/>
      <c r="Y227" s="843" t="s">
        <v>1079</v>
      </c>
      <c r="Z227" s="849">
        <v>6.e-002</v>
      </c>
      <c r="AA227" s="856" t="s">
        <v>1098</v>
      </c>
      <c r="AB227" s="865" t="s">
        <v>1081</v>
      </c>
      <c r="AC227" s="875" t="str">
        <f t="shared" si="4"/>
        <v>愛知県豊山町</v>
      </c>
      <c r="AD227" s="884">
        <v>10.42</v>
      </c>
      <c r="AE227" s="865">
        <v>10.33</v>
      </c>
      <c r="AF227" s="875">
        <v>10.27</v>
      </c>
      <c r="AG227" s="44"/>
    </row>
    <row r="228" spans="22:33">
      <c r="V228" s="830" t="s">
        <v>916</v>
      </c>
      <c r="W228" s="830" t="s">
        <v>1606</v>
      </c>
      <c r="X228" s="128"/>
      <c r="Y228" s="843" t="s">
        <v>1079</v>
      </c>
      <c r="Z228" s="849">
        <v>6.e-002</v>
      </c>
      <c r="AA228" s="856" t="s">
        <v>1098</v>
      </c>
      <c r="AB228" s="865" t="s">
        <v>1609</v>
      </c>
      <c r="AC228" s="875" t="str">
        <f t="shared" si="4"/>
        <v>愛知県飛島村</v>
      </c>
      <c r="AD228" s="884">
        <v>10.42</v>
      </c>
      <c r="AE228" s="865">
        <v>10.33</v>
      </c>
      <c r="AF228" s="875">
        <v>10.27</v>
      </c>
      <c r="AG228" s="44"/>
    </row>
    <row r="229" spans="22:33">
      <c r="V229" s="830" t="s">
        <v>916</v>
      </c>
      <c r="W229" s="830" t="s">
        <v>1014</v>
      </c>
      <c r="X229" s="128"/>
      <c r="Y229" s="843" t="s">
        <v>1079</v>
      </c>
      <c r="Z229" s="849">
        <v>6.e-002</v>
      </c>
      <c r="AA229" s="856" t="s">
        <v>1106</v>
      </c>
      <c r="AB229" s="865" t="s">
        <v>271</v>
      </c>
      <c r="AC229" s="875" t="str">
        <f t="shared" si="4"/>
        <v>三重県津市</v>
      </c>
      <c r="AD229" s="884">
        <v>10.42</v>
      </c>
      <c r="AE229" s="865">
        <v>10.33</v>
      </c>
      <c r="AF229" s="875">
        <v>10.27</v>
      </c>
      <c r="AG229" s="44"/>
    </row>
    <row r="230" spans="22:33">
      <c r="V230" s="830" t="s">
        <v>916</v>
      </c>
      <c r="W230" s="830" t="s">
        <v>1610</v>
      </c>
      <c r="X230" s="128"/>
      <c r="Y230" s="843" t="s">
        <v>1079</v>
      </c>
      <c r="Z230" s="849">
        <v>6.e-002</v>
      </c>
      <c r="AA230" s="856" t="s">
        <v>1106</v>
      </c>
      <c r="AB230" s="865" t="s">
        <v>1611</v>
      </c>
      <c r="AC230" s="875" t="str">
        <f t="shared" si="4"/>
        <v>三重県四日市市</v>
      </c>
      <c r="AD230" s="884">
        <v>10.42</v>
      </c>
      <c r="AE230" s="865">
        <v>10.33</v>
      </c>
      <c r="AF230" s="875">
        <v>10.27</v>
      </c>
      <c r="AG230" s="44"/>
    </row>
    <row r="231" spans="22:33">
      <c r="V231" s="830" t="s">
        <v>916</v>
      </c>
      <c r="W231" s="830" t="s">
        <v>1069</v>
      </c>
      <c r="X231" s="128"/>
      <c r="Y231" s="843" t="s">
        <v>1079</v>
      </c>
      <c r="Z231" s="849">
        <v>6.e-002</v>
      </c>
      <c r="AA231" s="856" t="s">
        <v>1106</v>
      </c>
      <c r="AB231" s="865" t="s">
        <v>312</v>
      </c>
      <c r="AC231" s="875" t="str">
        <f t="shared" si="4"/>
        <v>三重県桑名市</v>
      </c>
      <c r="AD231" s="884">
        <v>10.42</v>
      </c>
      <c r="AE231" s="865">
        <v>10.33</v>
      </c>
      <c r="AF231" s="875">
        <v>10.27</v>
      </c>
      <c r="AG231" s="44"/>
    </row>
    <row r="232" spans="22:33">
      <c r="V232" s="830" t="s">
        <v>916</v>
      </c>
      <c r="W232" s="830" t="s">
        <v>1613</v>
      </c>
      <c r="X232" s="128"/>
      <c r="Y232" s="843" t="s">
        <v>1079</v>
      </c>
      <c r="Z232" s="849">
        <v>6.e-002</v>
      </c>
      <c r="AA232" s="856" t="s">
        <v>1106</v>
      </c>
      <c r="AB232" s="865" t="s">
        <v>1615</v>
      </c>
      <c r="AC232" s="875" t="str">
        <f t="shared" si="4"/>
        <v>三重県鈴鹿市</v>
      </c>
      <c r="AD232" s="884">
        <v>10.42</v>
      </c>
      <c r="AE232" s="865">
        <v>10.33</v>
      </c>
      <c r="AF232" s="875">
        <v>10.27</v>
      </c>
      <c r="AG232" s="44"/>
    </row>
    <row r="233" spans="22:33">
      <c r="V233" s="830" t="s">
        <v>916</v>
      </c>
      <c r="W233" s="830" t="s">
        <v>302</v>
      </c>
      <c r="X233" s="128"/>
      <c r="Y233" s="843" t="s">
        <v>1079</v>
      </c>
      <c r="Z233" s="849">
        <v>6.e-002</v>
      </c>
      <c r="AA233" s="856" t="s">
        <v>1106</v>
      </c>
      <c r="AB233" s="865" t="s">
        <v>1619</v>
      </c>
      <c r="AC233" s="875" t="str">
        <f t="shared" si="4"/>
        <v>三重県亀山市</v>
      </c>
      <c r="AD233" s="884">
        <v>10.42</v>
      </c>
      <c r="AE233" s="865">
        <v>10.33</v>
      </c>
      <c r="AF233" s="875">
        <v>10.27</v>
      </c>
      <c r="AG233" s="44"/>
    </row>
    <row r="234" spans="22:33">
      <c r="V234" s="830" t="s">
        <v>916</v>
      </c>
      <c r="W234" s="830" t="s">
        <v>1476</v>
      </c>
      <c r="X234" s="128"/>
      <c r="Y234" s="843" t="s">
        <v>1079</v>
      </c>
      <c r="Z234" s="849">
        <v>6.e-002</v>
      </c>
      <c r="AA234" s="856" t="s">
        <v>1122</v>
      </c>
      <c r="AB234" s="865" t="s">
        <v>1620</v>
      </c>
      <c r="AC234" s="875" t="str">
        <f t="shared" si="4"/>
        <v>滋賀県彦根市</v>
      </c>
      <c r="AD234" s="884">
        <v>10.42</v>
      </c>
      <c r="AE234" s="865">
        <v>10.33</v>
      </c>
      <c r="AF234" s="875">
        <v>10.27</v>
      </c>
      <c r="AG234" s="44"/>
    </row>
    <row r="235" spans="22:33">
      <c r="V235" s="830" t="s">
        <v>916</v>
      </c>
      <c r="W235" s="830" t="s">
        <v>1622</v>
      </c>
      <c r="X235" s="128"/>
      <c r="Y235" s="843" t="s">
        <v>1079</v>
      </c>
      <c r="Z235" s="849">
        <v>6.e-002</v>
      </c>
      <c r="AA235" s="856" t="s">
        <v>1122</v>
      </c>
      <c r="AB235" s="865" t="s">
        <v>1623</v>
      </c>
      <c r="AC235" s="875" t="str">
        <f t="shared" si="4"/>
        <v>滋賀県守山市</v>
      </c>
      <c r="AD235" s="884">
        <v>10.42</v>
      </c>
      <c r="AE235" s="865">
        <v>10.33</v>
      </c>
      <c r="AF235" s="875">
        <v>10.27</v>
      </c>
      <c r="AG235" s="44"/>
    </row>
    <row r="236" spans="22:33">
      <c r="V236" s="830" t="s">
        <v>916</v>
      </c>
      <c r="W236" s="830" t="s">
        <v>1624</v>
      </c>
      <c r="X236" s="128"/>
      <c r="Y236" s="843" t="s">
        <v>1079</v>
      </c>
      <c r="Z236" s="849">
        <v>6.e-002</v>
      </c>
      <c r="AA236" s="856" t="s">
        <v>1122</v>
      </c>
      <c r="AB236" s="865" t="s">
        <v>1625</v>
      </c>
      <c r="AC236" s="875" t="str">
        <f t="shared" si="4"/>
        <v>滋賀県甲賀市</v>
      </c>
      <c r="AD236" s="884">
        <v>10.42</v>
      </c>
      <c r="AE236" s="865">
        <v>10.33</v>
      </c>
      <c r="AF236" s="875">
        <v>10.27</v>
      </c>
      <c r="AG236" s="44"/>
    </row>
    <row r="237" spans="22:33">
      <c r="V237" s="830" t="s">
        <v>916</v>
      </c>
      <c r="W237" s="830" t="s">
        <v>1444</v>
      </c>
      <c r="X237" s="128"/>
      <c r="Y237" s="843" t="s">
        <v>1079</v>
      </c>
      <c r="Z237" s="849">
        <v>6.e-002</v>
      </c>
      <c r="AA237" s="856" t="s">
        <v>520</v>
      </c>
      <c r="AB237" s="865" t="s">
        <v>1626</v>
      </c>
      <c r="AC237" s="875" t="str">
        <f t="shared" si="4"/>
        <v>京都府宇治市</v>
      </c>
      <c r="AD237" s="884">
        <v>10.42</v>
      </c>
      <c r="AE237" s="865">
        <v>10.33</v>
      </c>
      <c r="AF237" s="875">
        <v>10.27</v>
      </c>
      <c r="AG237" s="44"/>
    </row>
    <row r="238" spans="22:33">
      <c r="V238" s="830" t="s">
        <v>916</v>
      </c>
      <c r="W238" s="830" t="s">
        <v>1082</v>
      </c>
      <c r="X238" s="128"/>
      <c r="Y238" s="843" t="s">
        <v>1079</v>
      </c>
      <c r="Z238" s="849">
        <v>6.e-002</v>
      </c>
      <c r="AA238" s="856" t="s">
        <v>520</v>
      </c>
      <c r="AB238" s="865" t="s">
        <v>1628</v>
      </c>
      <c r="AC238" s="875" t="str">
        <f t="shared" si="4"/>
        <v>京都府亀岡市</v>
      </c>
      <c r="AD238" s="884">
        <v>10.42</v>
      </c>
      <c r="AE238" s="865">
        <v>10.33</v>
      </c>
      <c r="AF238" s="875">
        <v>10.27</v>
      </c>
      <c r="AG238" s="44"/>
    </row>
    <row r="239" spans="22:33">
      <c r="V239" s="830" t="s">
        <v>916</v>
      </c>
      <c r="W239" s="830" t="s">
        <v>1629</v>
      </c>
      <c r="X239" s="128"/>
      <c r="Y239" s="843" t="s">
        <v>1079</v>
      </c>
      <c r="Z239" s="849">
        <v>6.e-002</v>
      </c>
      <c r="AA239" s="856" t="s">
        <v>520</v>
      </c>
      <c r="AB239" s="865" t="s">
        <v>1630</v>
      </c>
      <c r="AC239" s="875" t="str">
        <f t="shared" si="4"/>
        <v>京都府城陽市</v>
      </c>
      <c r="AD239" s="884">
        <v>10.42</v>
      </c>
      <c r="AE239" s="865">
        <v>10.33</v>
      </c>
      <c r="AF239" s="875">
        <v>10.27</v>
      </c>
      <c r="AG239" s="44"/>
    </row>
    <row r="240" spans="22:33">
      <c r="V240" s="830" t="s">
        <v>916</v>
      </c>
      <c r="W240" s="830" t="s">
        <v>1631</v>
      </c>
      <c r="X240" s="128"/>
      <c r="Y240" s="843" t="s">
        <v>1079</v>
      </c>
      <c r="Z240" s="849">
        <v>6.e-002</v>
      </c>
      <c r="AA240" s="856" t="s">
        <v>520</v>
      </c>
      <c r="AB240" s="865" t="s">
        <v>1632</v>
      </c>
      <c r="AC240" s="875" t="str">
        <f t="shared" si="4"/>
        <v>京都府向日市</v>
      </c>
      <c r="AD240" s="884">
        <v>10.42</v>
      </c>
      <c r="AE240" s="865">
        <v>10.33</v>
      </c>
      <c r="AF240" s="875">
        <v>10.27</v>
      </c>
      <c r="AG240" s="44"/>
    </row>
    <row r="241" spans="22:33">
      <c r="V241" s="830" t="s">
        <v>916</v>
      </c>
      <c r="W241" s="830" t="s">
        <v>1635</v>
      </c>
      <c r="X241" s="128"/>
      <c r="Y241" s="843" t="s">
        <v>1079</v>
      </c>
      <c r="Z241" s="849">
        <v>6.e-002</v>
      </c>
      <c r="AA241" s="856" t="s">
        <v>520</v>
      </c>
      <c r="AB241" s="865" t="s">
        <v>914</v>
      </c>
      <c r="AC241" s="875" t="str">
        <f t="shared" si="4"/>
        <v>京都府八幡市</v>
      </c>
      <c r="AD241" s="884">
        <v>10.42</v>
      </c>
      <c r="AE241" s="865">
        <v>10.33</v>
      </c>
      <c r="AF241" s="875">
        <v>10.27</v>
      </c>
      <c r="AG241" s="44"/>
    </row>
    <row r="242" spans="22:33">
      <c r="V242" s="830" t="s">
        <v>916</v>
      </c>
      <c r="W242" s="830" t="s">
        <v>1639</v>
      </c>
      <c r="X242" s="128"/>
      <c r="Y242" s="843" t="s">
        <v>1079</v>
      </c>
      <c r="Z242" s="849">
        <v>6.e-002</v>
      </c>
      <c r="AA242" s="856" t="s">
        <v>520</v>
      </c>
      <c r="AB242" s="865" t="s">
        <v>1323</v>
      </c>
      <c r="AC242" s="875" t="str">
        <f t="shared" si="4"/>
        <v>京都府京田辺市</v>
      </c>
      <c r="AD242" s="884">
        <v>10.42</v>
      </c>
      <c r="AE242" s="865">
        <v>10.33</v>
      </c>
      <c r="AF242" s="875">
        <v>10.27</v>
      </c>
      <c r="AG242" s="44"/>
    </row>
    <row r="243" spans="22:33">
      <c r="V243" s="830" t="s">
        <v>916</v>
      </c>
      <c r="W243" s="830" t="s">
        <v>1599</v>
      </c>
      <c r="X243" s="128"/>
      <c r="Y243" s="843" t="s">
        <v>1079</v>
      </c>
      <c r="Z243" s="849">
        <v>6.e-002</v>
      </c>
      <c r="AA243" s="856" t="s">
        <v>520</v>
      </c>
      <c r="AB243" s="865" t="s">
        <v>632</v>
      </c>
      <c r="AC243" s="875" t="str">
        <f t="shared" si="4"/>
        <v>京都府木津川市</v>
      </c>
      <c r="AD243" s="884">
        <v>10.42</v>
      </c>
      <c r="AE243" s="865">
        <v>10.33</v>
      </c>
      <c r="AF243" s="875">
        <v>10.27</v>
      </c>
      <c r="AG243" s="44"/>
    </row>
    <row r="244" spans="22:33">
      <c r="V244" s="830" t="s">
        <v>916</v>
      </c>
      <c r="W244" s="830" t="s">
        <v>1641</v>
      </c>
      <c r="X244" s="128"/>
      <c r="Y244" s="843" t="s">
        <v>1079</v>
      </c>
      <c r="Z244" s="849">
        <v>6.e-002</v>
      </c>
      <c r="AA244" s="856" t="s">
        <v>520</v>
      </c>
      <c r="AB244" s="865" t="s">
        <v>1039</v>
      </c>
      <c r="AC244" s="875" t="str">
        <f t="shared" si="4"/>
        <v>京都府大山崎町</v>
      </c>
      <c r="AD244" s="884">
        <v>10.42</v>
      </c>
      <c r="AE244" s="865">
        <v>10.33</v>
      </c>
      <c r="AF244" s="875">
        <v>10.27</v>
      </c>
      <c r="AG244" s="44"/>
    </row>
    <row r="245" spans="22:33">
      <c r="V245" s="830" t="s">
        <v>916</v>
      </c>
      <c r="W245" s="830" t="s">
        <v>1642</v>
      </c>
      <c r="X245" s="128"/>
      <c r="Y245" s="843" t="s">
        <v>1079</v>
      </c>
      <c r="Z245" s="849">
        <v>6.e-002</v>
      </c>
      <c r="AA245" s="856" t="s">
        <v>520</v>
      </c>
      <c r="AB245" s="865" t="s">
        <v>186</v>
      </c>
      <c r="AC245" s="875" t="str">
        <f t="shared" si="4"/>
        <v>京都府精華町</v>
      </c>
      <c r="AD245" s="884">
        <v>10.42</v>
      </c>
      <c r="AE245" s="865">
        <v>10.33</v>
      </c>
      <c r="AF245" s="875">
        <v>10.27</v>
      </c>
      <c r="AG245" s="44"/>
    </row>
    <row r="246" spans="22:33">
      <c r="V246" s="830" t="s">
        <v>916</v>
      </c>
      <c r="W246" s="830" t="s">
        <v>1643</v>
      </c>
      <c r="X246" s="128"/>
      <c r="Y246" s="843" t="s">
        <v>1079</v>
      </c>
      <c r="Z246" s="849">
        <v>6.e-002</v>
      </c>
      <c r="AA246" s="856" t="s">
        <v>1143</v>
      </c>
      <c r="AB246" s="865" t="s">
        <v>1480</v>
      </c>
      <c r="AC246" s="875" t="str">
        <f t="shared" si="4"/>
        <v>大阪府岸和田市</v>
      </c>
      <c r="AD246" s="884">
        <v>10.42</v>
      </c>
      <c r="AE246" s="865">
        <v>10.33</v>
      </c>
      <c r="AF246" s="875">
        <v>10.27</v>
      </c>
      <c r="AG246" s="44"/>
    </row>
    <row r="247" spans="22:33">
      <c r="V247" s="830" t="s">
        <v>916</v>
      </c>
      <c r="W247" s="830" t="s">
        <v>1645</v>
      </c>
      <c r="X247" s="128"/>
      <c r="Y247" s="843" t="s">
        <v>1079</v>
      </c>
      <c r="Z247" s="849">
        <v>6.e-002</v>
      </c>
      <c r="AA247" s="856" t="s">
        <v>1143</v>
      </c>
      <c r="AB247" s="865" t="s">
        <v>1646</v>
      </c>
      <c r="AC247" s="875" t="str">
        <f t="shared" si="4"/>
        <v>大阪府泉大津市</v>
      </c>
      <c r="AD247" s="884">
        <v>10.42</v>
      </c>
      <c r="AE247" s="865">
        <v>10.33</v>
      </c>
      <c r="AF247" s="875">
        <v>10.27</v>
      </c>
      <c r="AG247" s="44"/>
    </row>
    <row r="248" spans="22:33">
      <c r="V248" s="830" t="s">
        <v>916</v>
      </c>
      <c r="W248" s="830" t="s">
        <v>1342</v>
      </c>
      <c r="X248" s="128"/>
      <c r="Y248" s="843" t="s">
        <v>1079</v>
      </c>
      <c r="Z248" s="849">
        <v>6.e-002</v>
      </c>
      <c r="AA248" s="856" t="s">
        <v>1143</v>
      </c>
      <c r="AB248" s="865" t="s">
        <v>789</v>
      </c>
      <c r="AC248" s="875" t="str">
        <f t="shared" si="4"/>
        <v>大阪府貝塚市</v>
      </c>
      <c r="AD248" s="884">
        <v>10.42</v>
      </c>
      <c r="AE248" s="865">
        <v>10.33</v>
      </c>
      <c r="AF248" s="875">
        <v>10.27</v>
      </c>
      <c r="AG248" s="44"/>
    </row>
    <row r="249" spans="22:33">
      <c r="V249" s="830" t="s">
        <v>916</v>
      </c>
      <c r="W249" s="830" t="s">
        <v>363</v>
      </c>
      <c r="X249" s="128"/>
      <c r="Y249" s="843" t="s">
        <v>1079</v>
      </c>
      <c r="Z249" s="849">
        <v>6.e-002</v>
      </c>
      <c r="AA249" s="856" t="s">
        <v>1143</v>
      </c>
      <c r="AB249" s="865" t="s">
        <v>1647</v>
      </c>
      <c r="AC249" s="875" t="str">
        <f t="shared" si="4"/>
        <v>大阪府泉佐野市</v>
      </c>
      <c r="AD249" s="884">
        <v>10.42</v>
      </c>
      <c r="AE249" s="865">
        <v>10.33</v>
      </c>
      <c r="AF249" s="875">
        <v>10.27</v>
      </c>
      <c r="AG249" s="44"/>
    </row>
    <row r="250" spans="22:33">
      <c r="V250" s="830" t="s">
        <v>916</v>
      </c>
      <c r="W250" s="830" t="s">
        <v>1649</v>
      </c>
      <c r="X250" s="128"/>
      <c r="Y250" s="843" t="s">
        <v>1079</v>
      </c>
      <c r="Z250" s="849">
        <v>6.e-002</v>
      </c>
      <c r="AA250" s="856" t="s">
        <v>1143</v>
      </c>
      <c r="AB250" s="865" t="s">
        <v>1552</v>
      </c>
      <c r="AC250" s="875" t="str">
        <f t="shared" si="4"/>
        <v>大阪府富田林市</v>
      </c>
      <c r="AD250" s="884">
        <v>10.42</v>
      </c>
      <c r="AE250" s="865">
        <v>10.33</v>
      </c>
      <c r="AF250" s="875">
        <v>10.27</v>
      </c>
      <c r="AG250" s="44"/>
    </row>
    <row r="251" spans="22:33">
      <c r="V251" s="830" t="s">
        <v>916</v>
      </c>
      <c r="W251" s="830" t="s">
        <v>1651</v>
      </c>
      <c r="X251" s="128"/>
      <c r="Y251" s="843" t="s">
        <v>1079</v>
      </c>
      <c r="Z251" s="849">
        <v>6.e-002</v>
      </c>
      <c r="AA251" s="856" t="s">
        <v>1143</v>
      </c>
      <c r="AB251" s="865" t="s">
        <v>824</v>
      </c>
      <c r="AC251" s="875" t="str">
        <f t="shared" si="4"/>
        <v>大阪府河内長野市</v>
      </c>
      <c r="AD251" s="884">
        <v>10.42</v>
      </c>
      <c r="AE251" s="865">
        <v>10.33</v>
      </c>
      <c r="AF251" s="875">
        <v>10.27</v>
      </c>
      <c r="AG251" s="44"/>
    </row>
    <row r="252" spans="22:33">
      <c r="V252" s="830" t="s">
        <v>916</v>
      </c>
      <c r="W252" s="830" t="s">
        <v>216</v>
      </c>
      <c r="X252" s="128"/>
      <c r="Y252" s="843" t="s">
        <v>1079</v>
      </c>
      <c r="Z252" s="849">
        <v>6.e-002</v>
      </c>
      <c r="AA252" s="856" t="s">
        <v>1143</v>
      </c>
      <c r="AB252" s="865" t="s">
        <v>546</v>
      </c>
      <c r="AC252" s="875" t="str">
        <f t="shared" si="4"/>
        <v>大阪府和泉市</v>
      </c>
      <c r="AD252" s="884">
        <v>10.42</v>
      </c>
      <c r="AE252" s="865">
        <v>10.33</v>
      </c>
      <c r="AF252" s="875">
        <v>10.27</v>
      </c>
      <c r="AG252" s="44"/>
    </row>
    <row r="253" spans="22:33">
      <c r="V253" s="830" t="s">
        <v>916</v>
      </c>
      <c r="W253" s="830" t="s">
        <v>1083</v>
      </c>
      <c r="X253" s="128"/>
      <c r="Y253" s="843" t="s">
        <v>1079</v>
      </c>
      <c r="Z253" s="849">
        <v>6.e-002</v>
      </c>
      <c r="AA253" s="856" t="s">
        <v>1143</v>
      </c>
      <c r="AB253" s="865" t="s">
        <v>1653</v>
      </c>
      <c r="AC253" s="875" t="str">
        <f t="shared" si="4"/>
        <v>大阪府柏原市</v>
      </c>
      <c r="AD253" s="884">
        <v>10.42</v>
      </c>
      <c r="AE253" s="865">
        <v>10.33</v>
      </c>
      <c r="AF253" s="875">
        <v>10.27</v>
      </c>
      <c r="AG253" s="44"/>
    </row>
    <row r="254" spans="22:33">
      <c r="V254" s="830" t="s">
        <v>916</v>
      </c>
      <c r="W254" s="830" t="s">
        <v>1654</v>
      </c>
      <c r="X254" s="128"/>
      <c r="Y254" s="843" t="s">
        <v>1079</v>
      </c>
      <c r="Z254" s="849">
        <v>6.e-002</v>
      </c>
      <c r="AA254" s="856" t="s">
        <v>1143</v>
      </c>
      <c r="AB254" s="865" t="s">
        <v>1657</v>
      </c>
      <c r="AC254" s="875" t="str">
        <f t="shared" si="4"/>
        <v>大阪府羽曳野市</v>
      </c>
      <c r="AD254" s="884">
        <v>10.42</v>
      </c>
      <c r="AE254" s="865">
        <v>10.33</v>
      </c>
      <c r="AF254" s="875">
        <v>10.27</v>
      </c>
      <c r="AG254" s="44"/>
    </row>
    <row r="255" spans="22:33">
      <c r="V255" s="830" t="s">
        <v>916</v>
      </c>
      <c r="W255" s="830" t="s">
        <v>323</v>
      </c>
      <c r="X255" s="128"/>
      <c r="Y255" s="843" t="s">
        <v>1079</v>
      </c>
      <c r="Z255" s="849">
        <v>6.e-002</v>
      </c>
      <c r="AA255" s="856" t="s">
        <v>1143</v>
      </c>
      <c r="AB255" s="865" t="s">
        <v>1660</v>
      </c>
      <c r="AC255" s="875" t="str">
        <f t="shared" si="4"/>
        <v>大阪府藤井寺市</v>
      </c>
      <c r="AD255" s="884">
        <v>10.42</v>
      </c>
      <c r="AE255" s="865">
        <v>10.33</v>
      </c>
      <c r="AF255" s="875">
        <v>10.27</v>
      </c>
      <c r="AG255" s="44"/>
    </row>
    <row r="256" spans="22:33">
      <c r="V256" s="830" t="s">
        <v>916</v>
      </c>
      <c r="W256" s="830" t="s">
        <v>47</v>
      </c>
      <c r="X256" s="128"/>
      <c r="Y256" s="843" t="s">
        <v>1079</v>
      </c>
      <c r="Z256" s="849">
        <v>6.e-002</v>
      </c>
      <c r="AA256" s="856" t="s">
        <v>1143</v>
      </c>
      <c r="AB256" s="865" t="s">
        <v>1663</v>
      </c>
      <c r="AC256" s="875" t="str">
        <f t="shared" si="4"/>
        <v>大阪府泉南市</v>
      </c>
      <c r="AD256" s="884">
        <v>10.42</v>
      </c>
      <c r="AE256" s="865">
        <v>10.33</v>
      </c>
      <c r="AF256" s="875">
        <v>10.27</v>
      </c>
      <c r="AG256" s="44"/>
    </row>
    <row r="257" spans="22:33">
      <c r="V257" s="830" t="s">
        <v>916</v>
      </c>
      <c r="W257" s="830" t="s">
        <v>1664</v>
      </c>
      <c r="X257" s="128"/>
      <c r="Y257" s="843" t="s">
        <v>1079</v>
      </c>
      <c r="Z257" s="849">
        <v>6.e-002</v>
      </c>
      <c r="AA257" s="856" t="s">
        <v>1143</v>
      </c>
      <c r="AB257" s="865" t="s">
        <v>812</v>
      </c>
      <c r="AC257" s="875" t="str">
        <f t="shared" si="4"/>
        <v>大阪府大阪狭山市</v>
      </c>
      <c r="AD257" s="884">
        <v>10.42</v>
      </c>
      <c r="AE257" s="865">
        <v>10.33</v>
      </c>
      <c r="AF257" s="875">
        <v>10.27</v>
      </c>
      <c r="AG257" s="44"/>
    </row>
    <row r="258" spans="22:33">
      <c r="V258" s="830" t="s">
        <v>916</v>
      </c>
      <c r="W258" s="830" t="s">
        <v>1666</v>
      </c>
      <c r="X258" s="128"/>
      <c r="Y258" s="843" t="s">
        <v>1079</v>
      </c>
      <c r="Z258" s="849">
        <v>6.e-002</v>
      </c>
      <c r="AA258" s="856" t="s">
        <v>1143</v>
      </c>
      <c r="AB258" s="865" t="s">
        <v>1419</v>
      </c>
      <c r="AC258" s="875" t="str">
        <f t="shared" si="4"/>
        <v>大阪府阪南市</v>
      </c>
      <c r="AD258" s="884">
        <v>10.42</v>
      </c>
      <c r="AE258" s="865">
        <v>10.33</v>
      </c>
      <c r="AF258" s="875">
        <v>10.27</v>
      </c>
      <c r="AG258" s="44"/>
    </row>
    <row r="259" spans="22:33">
      <c r="V259" s="830" t="s">
        <v>916</v>
      </c>
      <c r="W259" s="830" t="s">
        <v>1669</v>
      </c>
      <c r="X259" s="128"/>
      <c r="Y259" s="843" t="s">
        <v>1079</v>
      </c>
      <c r="Z259" s="849">
        <v>6.e-002</v>
      </c>
      <c r="AA259" s="856" t="s">
        <v>1143</v>
      </c>
      <c r="AB259" s="865" t="s">
        <v>757</v>
      </c>
      <c r="AC259" s="875" t="str">
        <f t="shared" ref="AC259:AC322" si="5">AA259&amp;AB259</f>
        <v>大阪府島本町</v>
      </c>
      <c r="AD259" s="884">
        <v>10.42</v>
      </c>
      <c r="AE259" s="865">
        <v>10.33</v>
      </c>
      <c r="AF259" s="875">
        <v>10.27</v>
      </c>
      <c r="AG259" s="44"/>
    </row>
    <row r="260" spans="22:33">
      <c r="V260" s="830" t="s">
        <v>916</v>
      </c>
      <c r="W260" s="830" t="s">
        <v>1671</v>
      </c>
      <c r="X260" s="128"/>
      <c r="Y260" s="843" t="s">
        <v>1079</v>
      </c>
      <c r="Z260" s="849">
        <v>6.e-002</v>
      </c>
      <c r="AA260" s="856" t="s">
        <v>1143</v>
      </c>
      <c r="AB260" s="865" t="s">
        <v>126</v>
      </c>
      <c r="AC260" s="875" t="str">
        <f t="shared" si="5"/>
        <v>大阪府豊能町</v>
      </c>
      <c r="AD260" s="884">
        <v>10.42</v>
      </c>
      <c r="AE260" s="865">
        <v>10.33</v>
      </c>
      <c r="AF260" s="875">
        <v>10.27</v>
      </c>
      <c r="AG260" s="44"/>
    </row>
    <row r="261" spans="22:33">
      <c r="V261" s="830" t="s">
        <v>625</v>
      </c>
      <c r="W261" s="830" t="s">
        <v>1161</v>
      </c>
      <c r="X261" s="128"/>
      <c r="Y261" s="843" t="s">
        <v>1079</v>
      </c>
      <c r="Z261" s="849">
        <v>6.e-002</v>
      </c>
      <c r="AA261" s="856" t="s">
        <v>1143</v>
      </c>
      <c r="AB261" s="865" t="s">
        <v>1454</v>
      </c>
      <c r="AC261" s="875" t="str">
        <f t="shared" si="5"/>
        <v>大阪府能勢町</v>
      </c>
      <c r="AD261" s="884">
        <v>10.42</v>
      </c>
      <c r="AE261" s="865">
        <v>10.33</v>
      </c>
      <c r="AF261" s="875">
        <v>10.27</v>
      </c>
      <c r="AG261" s="44"/>
    </row>
    <row r="262" spans="22:33">
      <c r="V262" s="830" t="s">
        <v>625</v>
      </c>
      <c r="W262" s="830" t="s">
        <v>1672</v>
      </c>
      <c r="X262" s="128"/>
      <c r="Y262" s="843" t="s">
        <v>1079</v>
      </c>
      <c r="Z262" s="849">
        <v>6.e-002</v>
      </c>
      <c r="AA262" s="856" t="s">
        <v>1143</v>
      </c>
      <c r="AB262" s="865" t="s">
        <v>1673</v>
      </c>
      <c r="AC262" s="875" t="str">
        <f t="shared" si="5"/>
        <v>大阪府忠岡町</v>
      </c>
      <c r="AD262" s="884">
        <v>10.42</v>
      </c>
      <c r="AE262" s="865">
        <v>10.33</v>
      </c>
      <c r="AF262" s="875">
        <v>10.27</v>
      </c>
      <c r="AG262" s="44"/>
    </row>
    <row r="263" spans="22:33">
      <c r="V263" s="830" t="s">
        <v>625</v>
      </c>
      <c r="W263" s="830" t="s">
        <v>475</v>
      </c>
      <c r="X263" s="128"/>
      <c r="Y263" s="843" t="s">
        <v>1079</v>
      </c>
      <c r="Z263" s="849">
        <v>6.e-002</v>
      </c>
      <c r="AA263" s="856" t="s">
        <v>1143</v>
      </c>
      <c r="AB263" s="865" t="s">
        <v>1675</v>
      </c>
      <c r="AC263" s="875" t="str">
        <f t="shared" si="5"/>
        <v>大阪府熊取町</v>
      </c>
      <c r="AD263" s="884">
        <v>10.42</v>
      </c>
      <c r="AE263" s="865">
        <v>10.33</v>
      </c>
      <c r="AF263" s="875">
        <v>10.27</v>
      </c>
      <c r="AG263" s="44"/>
    </row>
    <row r="264" spans="22:33">
      <c r="V264" s="830" t="s">
        <v>625</v>
      </c>
      <c r="W264" s="830" t="s">
        <v>106</v>
      </c>
      <c r="X264" s="128"/>
      <c r="Y264" s="843" t="s">
        <v>1079</v>
      </c>
      <c r="Z264" s="849">
        <v>6.e-002</v>
      </c>
      <c r="AA264" s="856" t="s">
        <v>1143</v>
      </c>
      <c r="AB264" s="865" t="s">
        <v>1676</v>
      </c>
      <c r="AC264" s="875" t="str">
        <f t="shared" si="5"/>
        <v>大阪府田尻町</v>
      </c>
      <c r="AD264" s="884">
        <v>10.42</v>
      </c>
      <c r="AE264" s="865">
        <v>10.33</v>
      </c>
      <c r="AF264" s="875">
        <v>10.27</v>
      </c>
      <c r="AG264" s="44"/>
    </row>
    <row r="265" spans="22:33">
      <c r="V265" s="830" t="s">
        <v>625</v>
      </c>
      <c r="W265" s="830" t="s">
        <v>1678</v>
      </c>
      <c r="X265" s="128"/>
      <c r="Y265" s="843" t="s">
        <v>1079</v>
      </c>
      <c r="Z265" s="849">
        <v>6.e-002</v>
      </c>
      <c r="AA265" s="856" t="s">
        <v>1143</v>
      </c>
      <c r="AB265" s="865" t="s">
        <v>1680</v>
      </c>
      <c r="AC265" s="875" t="str">
        <f t="shared" si="5"/>
        <v>大阪府岬町</v>
      </c>
      <c r="AD265" s="884">
        <v>10.42</v>
      </c>
      <c r="AE265" s="865">
        <v>10.33</v>
      </c>
      <c r="AF265" s="875">
        <v>10.27</v>
      </c>
      <c r="AG265" s="44"/>
    </row>
    <row r="266" spans="22:33">
      <c r="V266" s="830" t="s">
        <v>625</v>
      </c>
      <c r="W266" s="830" t="s">
        <v>1681</v>
      </c>
      <c r="X266" s="128"/>
      <c r="Y266" s="843" t="s">
        <v>1079</v>
      </c>
      <c r="Z266" s="849">
        <v>6.e-002</v>
      </c>
      <c r="AA266" s="856" t="s">
        <v>1143</v>
      </c>
      <c r="AB266" s="865" t="s">
        <v>1682</v>
      </c>
      <c r="AC266" s="875" t="str">
        <f t="shared" si="5"/>
        <v>大阪府太子町</v>
      </c>
      <c r="AD266" s="884">
        <v>10.42</v>
      </c>
      <c r="AE266" s="865">
        <v>10.33</v>
      </c>
      <c r="AF266" s="875">
        <v>10.27</v>
      </c>
      <c r="AG266" s="44"/>
    </row>
    <row r="267" spans="22:33">
      <c r="V267" s="830" t="s">
        <v>625</v>
      </c>
      <c r="W267" s="830" t="s">
        <v>473</v>
      </c>
      <c r="X267" s="128"/>
      <c r="Y267" s="843" t="s">
        <v>1079</v>
      </c>
      <c r="Z267" s="849">
        <v>6.e-002</v>
      </c>
      <c r="AA267" s="856" t="s">
        <v>1143</v>
      </c>
      <c r="AB267" s="865" t="s">
        <v>1070</v>
      </c>
      <c r="AC267" s="875" t="str">
        <f t="shared" si="5"/>
        <v>大阪府河南町</v>
      </c>
      <c r="AD267" s="884">
        <v>10.42</v>
      </c>
      <c r="AE267" s="865">
        <v>10.33</v>
      </c>
      <c r="AF267" s="875">
        <v>10.27</v>
      </c>
      <c r="AG267" s="44"/>
    </row>
    <row r="268" spans="22:33">
      <c r="V268" s="830" t="s">
        <v>625</v>
      </c>
      <c r="W268" s="830" t="s">
        <v>1684</v>
      </c>
      <c r="X268" s="128"/>
      <c r="Y268" s="843" t="s">
        <v>1079</v>
      </c>
      <c r="Z268" s="849">
        <v>6.e-002</v>
      </c>
      <c r="AA268" s="856" t="s">
        <v>1143</v>
      </c>
      <c r="AB268" s="865" t="s">
        <v>1685</v>
      </c>
      <c r="AC268" s="875" t="str">
        <f t="shared" si="5"/>
        <v>大阪府千早赤阪村</v>
      </c>
      <c r="AD268" s="884">
        <v>10.42</v>
      </c>
      <c r="AE268" s="865">
        <v>10.33</v>
      </c>
      <c r="AF268" s="875">
        <v>10.27</v>
      </c>
      <c r="AG268" s="44"/>
    </row>
    <row r="269" spans="22:33">
      <c r="V269" s="830" t="s">
        <v>625</v>
      </c>
      <c r="W269" s="830" t="s">
        <v>417</v>
      </c>
      <c r="X269" s="128"/>
      <c r="Y269" s="843" t="s">
        <v>1079</v>
      </c>
      <c r="Z269" s="849">
        <v>6.e-002</v>
      </c>
      <c r="AA269" s="856" t="s">
        <v>1158</v>
      </c>
      <c r="AB269" s="865" t="s">
        <v>386</v>
      </c>
      <c r="AC269" s="875" t="str">
        <f t="shared" si="5"/>
        <v>兵庫県明石市</v>
      </c>
      <c r="AD269" s="884">
        <v>10.42</v>
      </c>
      <c r="AE269" s="865">
        <v>10.33</v>
      </c>
      <c r="AF269" s="875">
        <v>10.27</v>
      </c>
      <c r="AG269" s="44"/>
    </row>
    <row r="270" spans="22:33">
      <c r="V270" s="830" t="s">
        <v>625</v>
      </c>
      <c r="W270" s="830" t="s">
        <v>1686</v>
      </c>
      <c r="X270" s="128"/>
      <c r="Y270" s="843" t="s">
        <v>1079</v>
      </c>
      <c r="Z270" s="849">
        <v>6.e-002</v>
      </c>
      <c r="AA270" s="856" t="s">
        <v>1158</v>
      </c>
      <c r="AB270" s="865" t="s">
        <v>1687</v>
      </c>
      <c r="AC270" s="875" t="str">
        <f t="shared" si="5"/>
        <v>兵庫県猪名川町</v>
      </c>
      <c r="AD270" s="884">
        <v>10.42</v>
      </c>
      <c r="AE270" s="865">
        <v>10.33</v>
      </c>
      <c r="AF270" s="875">
        <v>10.27</v>
      </c>
      <c r="AG270" s="44"/>
    </row>
    <row r="271" spans="22:33">
      <c r="V271" s="830" t="s">
        <v>625</v>
      </c>
      <c r="W271" s="830" t="s">
        <v>118</v>
      </c>
      <c r="X271" s="128"/>
      <c r="Y271" s="843" t="s">
        <v>1079</v>
      </c>
      <c r="Z271" s="849">
        <v>6.e-002</v>
      </c>
      <c r="AA271" s="856" t="s">
        <v>641</v>
      </c>
      <c r="AB271" s="865" t="s">
        <v>1690</v>
      </c>
      <c r="AC271" s="875" t="str">
        <f t="shared" si="5"/>
        <v>奈良県奈良市</v>
      </c>
      <c r="AD271" s="884">
        <v>10.42</v>
      </c>
      <c r="AE271" s="865">
        <v>10.33</v>
      </c>
      <c r="AF271" s="875">
        <v>10.27</v>
      </c>
      <c r="AG271" s="44"/>
    </row>
    <row r="272" spans="22:33">
      <c r="V272" s="830" t="s">
        <v>625</v>
      </c>
      <c r="W272" s="830" t="s">
        <v>1691</v>
      </c>
      <c r="X272" s="128"/>
      <c r="Y272" s="843" t="s">
        <v>1079</v>
      </c>
      <c r="Z272" s="849">
        <v>6.e-002</v>
      </c>
      <c r="AA272" s="856" t="s">
        <v>641</v>
      </c>
      <c r="AB272" s="865" t="s">
        <v>1692</v>
      </c>
      <c r="AC272" s="875" t="str">
        <f t="shared" si="5"/>
        <v>奈良県大和郡山市</v>
      </c>
      <c r="AD272" s="884">
        <v>10.42</v>
      </c>
      <c r="AE272" s="865">
        <v>10.33</v>
      </c>
      <c r="AF272" s="875">
        <v>10.27</v>
      </c>
      <c r="AG272" s="44"/>
    </row>
    <row r="273" spans="22:33">
      <c r="V273" s="830" t="s">
        <v>625</v>
      </c>
      <c r="W273" s="830" t="s">
        <v>5</v>
      </c>
      <c r="X273" s="128"/>
      <c r="Y273" s="843" t="s">
        <v>1079</v>
      </c>
      <c r="Z273" s="849">
        <v>6.e-002</v>
      </c>
      <c r="AA273" s="856" t="s">
        <v>641</v>
      </c>
      <c r="AB273" s="865" t="s">
        <v>1693</v>
      </c>
      <c r="AC273" s="875" t="str">
        <f t="shared" si="5"/>
        <v>奈良県生駒市</v>
      </c>
      <c r="AD273" s="884">
        <v>10.42</v>
      </c>
      <c r="AE273" s="865">
        <v>10.33</v>
      </c>
      <c r="AF273" s="875">
        <v>10.27</v>
      </c>
      <c r="AG273" s="44"/>
    </row>
    <row r="274" spans="22:33">
      <c r="V274" s="830" t="s">
        <v>625</v>
      </c>
      <c r="W274" s="830" t="s">
        <v>1694</v>
      </c>
      <c r="X274" s="128"/>
      <c r="Y274" s="843" t="s">
        <v>1079</v>
      </c>
      <c r="Z274" s="849">
        <v>6.e-002</v>
      </c>
      <c r="AA274" s="856" t="s">
        <v>1178</v>
      </c>
      <c r="AB274" s="865" t="s">
        <v>1696</v>
      </c>
      <c r="AC274" s="875" t="str">
        <f t="shared" si="5"/>
        <v>和歌山県和歌山市</v>
      </c>
      <c r="AD274" s="884">
        <v>10.42</v>
      </c>
      <c r="AE274" s="865">
        <v>10.33</v>
      </c>
      <c r="AF274" s="875">
        <v>10.27</v>
      </c>
      <c r="AG274" s="44"/>
    </row>
    <row r="275" spans="22:33">
      <c r="V275" s="830" t="s">
        <v>625</v>
      </c>
      <c r="W275" s="830" t="s">
        <v>1502</v>
      </c>
      <c r="X275" s="128"/>
      <c r="Y275" s="843" t="s">
        <v>1079</v>
      </c>
      <c r="Z275" s="849">
        <v>6.e-002</v>
      </c>
      <c r="AA275" s="856" t="s">
        <v>1178</v>
      </c>
      <c r="AB275" s="865" t="s">
        <v>1228</v>
      </c>
      <c r="AC275" s="875" t="str">
        <f t="shared" si="5"/>
        <v>和歌山県橋本市</v>
      </c>
      <c r="AD275" s="884">
        <v>10.42</v>
      </c>
      <c r="AE275" s="865">
        <v>10.33</v>
      </c>
      <c r="AF275" s="875">
        <v>10.27</v>
      </c>
      <c r="AG275" s="44"/>
    </row>
    <row r="276" spans="22:33">
      <c r="V276" s="830" t="s">
        <v>625</v>
      </c>
      <c r="W276" s="830" t="s">
        <v>459</v>
      </c>
      <c r="X276" s="128"/>
      <c r="Y276" s="843" t="s">
        <v>1079</v>
      </c>
      <c r="Z276" s="849">
        <v>6.e-002</v>
      </c>
      <c r="AA276" s="856" t="s">
        <v>1264</v>
      </c>
      <c r="AB276" s="865" t="s">
        <v>1409</v>
      </c>
      <c r="AC276" s="875" t="str">
        <f t="shared" si="5"/>
        <v>福岡県大野城市</v>
      </c>
      <c r="AD276" s="884">
        <v>10.42</v>
      </c>
      <c r="AE276" s="865">
        <v>10.33</v>
      </c>
      <c r="AF276" s="875">
        <v>10.27</v>
      </c>
      <c r="AG276" s="44"/>
    </row>
    <row r="277" spans="22:33">
      <c r="V277" s="830" t="s">
        <v>625</v>
      </c>
      <c r="W277" s="830" t="s">
        <v>1698</v>
      </c>
      <c r="X277" s="128"/>
      <c r="Y277" s="843" t="s">
        <v>1079</v>
      </c>
      <c r="Z277" s="849">
        <v>6.e-002</v>
      </c>
      <c r="AA277" s="856" t="s">
        <v>1264</v>
      </c>
      <c r="AB277" s="865" t="s">
        <v>1699</v>
      </c>
      <c r="AC277" s="875" t="str">
        <f t="shared" si="5"/>
        <v>福岡県太宰府市</v>
      </c>
      <c r="AD277" s="884">
        <v>10.42</v>
      </c>
      <c r="AE277" s="865">
        <v>10.33</v>
      </c>
      <c r="AF277" s="875">
        <v>10.27</v>
      </c>
      <c r="AG277" s="44"/>
    </row>
    <row r="278" spans="22:33">
      <c r="V278" s="830" t="s">
        <v>625</v>
      </c>
      <c r="W278" s="830" t="s">
        <v>1701</v>
      </c>
      <c r="X278" s="128"/>
      <c r="Y278" s="843" t="s">
        <v>1079</v>
      </c>
      <c r="Z278" s="849">
        <v>6.e-002</v>
      </c>
      <c r="AA278" s="856" t="s">
        <v>1264</v>
      </c>
      <c r="AB278" s="865" t="s">
        <v>1703</v>
      </c>
      <c r="AC278" s="875" t="str">
        <f t="shared" si="5"/>
        <v>福岡県福津市</v>
      </c>
      <c r="AD278" s="884">
        <v>10.42</v>
      </c>
      <c r="AE278" s="865">
        <v>10.33</v>
      </c>
      <c r="AF278" s="875">
        <v>10.27</v>
      </c>
      <c r="AG278" s="44"/>
    </row>
    <row r="279" spans="22:33">
      <c r="V279" s="830" t="s">
        <v>625</v>
      </c>
      <c r="W279" s="830" t="s">
        <v>1704</v>
      </c>
      <c r="X279" s="128"/>
      <c r="Y279" s="843" t="s">
        <v>1079</v>
      </c>
      <c r="Z279" s="849">
        <v>6.e-002</v>
      </c>
      <c r="AA279" s="856" t="s">
        <v>1264</v>
      </c>
      <c r="AB279" s="865" t="s">
        <v>975</v>
      </c>
      <c r="AC279" s="875" t="str">
        <f t="shared" si="5"/>
        <v>福岡県糸島市</v>
      </c>
      <c r="AD279" s="884">
        <v>10.42</v>
      </c>
      <c r="AE279" s="865">
        <v>10.33</v>
      </c>
      <c r="AF279" s="875">
        <v>10.27</v>
      </c>
      <c r="AG279" s="44"/>
    </row>
    <row r="280" spans="22:33">
      <c r="V280" s="830" t="s">
        <v>625</v>
      </c>
      <c r="W280" s="830" t="s">
        <v>1385</v>
      </c>
      <c r="X280" s="128"/>
      <c r="Y280" s="843" t="s">
        <v>1079</v>
      </c>
      <c r="Z280" s="849">
        <v>6.e-002</v>
      </c>
      <c r="AA280" s="856" t="s">
        <v>1264</v>
      </c>
      <c r="AB280" s="865" t="s">
        <v>685</v>
      </c>
      <c r="AC280" s="875" t="str">
        <f t="shared" si="5"/>
        <v>福岡県那珂川市</v>
      </c>
      <c r="AD280" s="884">
        <v>10.42</v>
      </c>
      <c r="AE280" s="865">
        <v>10.33</v>
      </c>
      <c r="AF280" s="875">
        <v>10.27</v>
      </c>
      <c r="AG280" s="44"/>
    </row>
    <row r="281" spans="22:33" ht="14.25">
      <c r="V281" s="830" t="s">
        <v>625</v>
      </c>
      <c r="W281" s="830" t="s">
        <v>1706</v>
      </c>
      <c r="X281" s="128"/>
      <c r="Y281" s="846" t="s">
        <v>1079</v>
      </c>
      <c r="Z281" s="852">
        <v>6.e-002</v>
      </c>
      <c r="AA281" s="859" t="s">
        <v>1264</v>
      </c>
      <c r="AB281" s="868" t="s">
        <v>1568</v>
      </c>
      <c r="AC281" s="876" t="str">
        <f t="shared" si="5"/>
        <v>福岡県粕屋町</v>
      </c>
      <c r="AD281" s="887">
        <v>10.42</v>
      </c>
      <c r="AE281" s="868">
        <v>10.33</v>
      </c>
      <c r="AF281" s="878">
        <v>10.27</v>
      </c>
      <c r="AG281" s="44"/>
    </row>
    <row r="282" spans="22:33">
      <c r="V282" s="830" t="s">
        <v>625</v>
      </c>
      <c r="W282" s="830" t="s">
        <v>1247</v>
      </c>
      <c r="X282" s="128"/>
      <c r="Y282" s="842" t="s">
        <v>1614</v>
      </c>
      <c r="Z282" s="848">
        <v>3.e-002</v>
      </c>
      <c r="AA282" s="855" t="s">
        <v>893</v>
      </c>
      <c r="AB282" s="864" t="s">
        <v>894</v>
      </c>
      <c r="AC282" s="871" t="str">
        <f t="shared" si="5"/>
        <v>北海道札幌市</v>
      </c>
      <c r="AD282" s="883">
        <v>10.210000000000001</v>
      </c>
      <c r="AE282" s="864">
        <v>10.17</v>
      </c>
      <c r="AF282" s="874">
        <v>10.14</v>
      </c>
      <c r="AG282" s="44"/>
    </row>
    <row r="283" spans="22:33">
      <c r="V283" s="830" t="s">
        <v>625</v>
      </c>
      <c r="W283" s="830" t="s">
        <v>1707</v>
      </c>
      <c r="X283" s="128"/>
      <c r="Y283" s="843" t="s">
        <v>1614</v>
      </c>
      <c r="Z283" s="849">
        <v>3.e-002</v>
      </c>
      <c r="AA283" s="860" t="s">
        <v>719</v>
      </c>
      <c r="AB283" s="865" t="s">
        <v>1210</v>
      </c>
      <c r="AC283" s="872" t="str">
        <f t="shared" si="5"/>
        <v>茨城県結城市</v>
      </c>
      <c r="AD283" s="884">
        <v>10.210000000000001</v>
      </c>
      <c r="AE283" s="865">
        <v>10.17</v>
      </c>
      <c r="AF283" s="875">
        <v>10.14</v>
      </c>
      <c r="AG283" s="44"/>
    </row>
    <row r="284" spans="22:33">
      <c r="V284" s="830" t="s">
        <v>625</v>
      </c>
      <c r="W284" s="830" t="s">
        <v>1708</v>
      </c>
      <c r="X284" s="128"/>
      <c r="Y284" s="843" t="s">
        <v>1614</v>
      </c>
      <c r="Z284" s="849">
        <v>3.e-002</v>
      </c>
      <c r="AA284" s="860" t="s">
        <v>719</v>
      </c>
      <c r="AB284" s="865" t="s">
        <v>1711</v>
      </c>
      <c r="AC284" s="872" t="str">
        <f t="shared" si="5"/>
        <v>茨城県下妻市</v>
      </c>
      <c r="AD284" s="884">
        <v>10.210000000000001</v>
      </c>
      <c r="AE284" s="865">
        <v>10.17</v>
      </c>
      <c r="AF284" s="875">
        <v>10.14</v>
      </c>
      <c r="AG284" s="44"/>
    </row>
    <row r="285" spans="22:33">
      <c r="V285" s="830" t="s">
        <v>625</v>
      </c>
      <c r="W285" s="830" t="s">
        <v>1712</v>
      </c>
      <c r="X285" s="128"/>
      <c r="Y285" s="843" t="s">
        <v>1614</v>
      </c>
      <c r="Z285" s="849">
        <v>3.e-002</v>
      </c>
      <c r="AA285" s="860" t="s">
        <v>719</v>
      </c>
      <c r="AB285" s="865" t="s">
        <v>1713</v>
      </c>
      <c r="AC285" s="872" t="str">
        <f t="shared" si="5"/>
        <v>茨城県常総市</v>
      </c>
      <c r="AD285" s="884">
        <v>10.210000000000001</v>
      </c>
      <c r="AE285" s="865">
        <v>10.17</v>
      </c>
      <c r="AF285" s="875">
        <v>10.14</v>
      </c>
      <c r="AG285" s="44"/>
    </row>
    <row r="286" spans="22:33">
      <c r="V286" s="830" t="s">
        <v>625</v>
      </c>
      <c r="W286" s="830" t="s">
        <v>1715</v>
      </c>
      <c r="X286" s="128"/>
      <c r="Y286" s="843" t="s">
        <v>1614</v>
      </c>
      <c r="Z286" s="849">
        <v>3.e-002</v>
      </c>
      <c r="AA286" s="860" t="s">
        <v>719</v>
      </c>
      <c r="AB286" s="865" t="s">
        <v>1716</v>
      </c>
      <c r="AC286" s="872" t="str">
        <f t="shared" si="5"/>
        <v>茨城県笠間市</v>
      </c>
      <c r="AD286" s="884">
        <v>10.210000000000001</v>
      </c>
      <c r="AE286" s="865">
        <v>10.17</v>
      </c>
      <c r="AF286" s="875">
        <v>10.14</v>
      </c>
      <c r="AG286" s="44"/>
    </row>
    <row r="287" spans="22:33">
      <c r="V287" s="830" t="s">
        <v>625</v>
      </c>
      <c r="W287" s="830" t="s">
        <v>147</v>
      </c>
      <c r="X287" s="128"/>
      <c r="Y287" s="843" t="s">
        <v>1614</v>
      </c>
      <c r="Z287" s="849">
        <v>3.e-002</v>
      </c>
      <c r="AA287" s="860" t="s">
        <v>719</v>
      </c>
      <c r="AB287" s="865" t="s">
        <v>1718</v>
      </c>
      <c r="AC287" s="872" t="str">
        <f t="shared" si="5"/>
        <v>茨城県ひたちなか市</v>
      </c>
      <c r="AD287" s="884">
        <v>10.210000000000001</v>
      </c>
      <c r="AE287" s="865">
        <v>10.17</v>
      </c>
      <c r="AF287" s="875">
        <v>10.14</v>
      </c>
      <c r="AG287" s="44"/>
    </row>
    <row r="288" spans="22:33">
      <c r="V288" s="830" t="s">
        <v>625</v>
      </c>
      <c r="W288" s="830" t="s">
        <v>92</v>
      </c>
      <c r="X288" s="128"/>
      <c r="Y288" s="843" t="s">
        <v>1614</v>
      </c>
      <c r="Z288" s="849">
        <v>3.e-002</v>
      </c>
      <c r="AA288" s="860" t="s">
        <v>719</v>
      </c>
      <c r="AB288" s="865" t="s">
        <v>927</v>
      </c>
      <c r="AC288" s="872" t="str">
        <f t="shared" si="5"/>
        <v>茨城県那珂市</v>
      </c>
      <c r="AD288" s="884">
        <v>10.210000000000001</v>
      </c>
      <c r="AE288" s="865">
        <v>10.17</v>
      </c>
      <c r="AF288" s="875">
        <v>10.14</v>
      </c>
      <c r="AG288" s="44"/>
    </row>
    <row r="289" spans="22:33">
      <c r="V289" s="830" t="s">
        <v>625</v>
      </c>
      <c r="W289" s="830" t="s">
        <v>1719</v>
      </c>
      <c r="X289" s="128"/>
      <c r="Y289" s="843" t="s">
        <v>1614</v>
      </c>
      <c r="Z289" s="849">
        <v>3.e-002</v>
      </c>
      <c r="AA289" s="860" t="s">
        <v>719</v>
      </c>
      <c r="AB289" s="865" t="s">
        <v>1054</v>
      </c>
      <c r="AC289" s="872" t="str">
        <f t="shared" si="5"/>
        <v>茨城県筑西市</v>
      </c>
      <c r="AD289" s="884">
        <v>10.210000000000001</v>
      </c>
      <c r="AE289" s="865">
        <v>10.17</v>
      </c>
      <c r="AF289" s="875">
        <v>10.14</v>
      </c>
      <c r="AG289" s="44"/>
    </row>
    <row r="290" spans="22:33">
      <c r="V290" s="830" t="s">
        <v>625</v>
      </c>
      <c r="W290" s="830" t="s">
        <v>1722</v>
      </c>
      <c r="X290" s="128"/>
      <c r="Y290" s="843" t="s">
        <v>1614</v>
      </c>
      <c r="Z290" s="849">
        <v>3.e-002</v>
      </c>
      <c r="AA290" s="860" t="s">
        <v>719</v>
      </c>
      <c r="AB290" s="865" t="s">
        <v>1725</v>
      </c>
      <c r="AC290" s="872" t="str">
        <f t="shared" si="5"/>
        <v>茨城県坂東市</v>
      </c>
      <c r="AD290" s="884">
        <v>10.210000000000001</v>
      </c>
      <c r="AE290" s="865">
        <v>10.17</v>
      </c>
      <c r="AF290" s="875">
        <v>10.14</v>
      </c>
      <c r="AG290" s="44"/>
    </row>
    <row r="291" spans="22:33">
      <c r="V291" s="830" t="s">
        <v>625</v>
      </c>
      <c r="W291" s="830" t="s">
        <v>1726</v>
      </c>
      <c r="X291" s="128"/>
      <c r="Y291" s="843" t="s">
        <v>1614</v>
      </c>
      <c r="Z291" s="849">
        <v>3.e-002</v>
      </c>
      <c r="AA291" s="860" t="s">
        <v>719</v>
      </c>
      <c r="AB291" s="865" t="s">
        <v>1727</v>
      </c>
      <c r="AC291" s="872" t="str">
        <f t="shared" si="5"/>
        <v>茨城県稲敷市</v>
      </c>
      <c r="AD291" s="884">
        <v>10.210000000000001</v>
      </c>
      <c r="AE291" s="865">
        <v>10.17</v>
      </c>
      <c r="AF291" s="875">
        <v>10.14</v>
      </c>
      <c r="AG291" s="44"/>
    </row>
    <row r="292" spans="22:33">
      <c r="V292" s="830" t="s">
        <v>625</v>
      </c>
      <c r="W292" s="830" t="s">
        <v>1242</v>
      </c>
      <c r="X292" s="128"/>
      <c r="Y292" s="843" t="s">
        <v>1614</v>
      </c>
      <c r="Z292" s="849">
        <v>3.e-002</v>
      </c>
      <c r="AA292" s="860" t="s">
        <v>719</v>
      </c>
      <c r="AB292" s="865" t="s">
        <v>381</v>
      </c>
      <c r="AC292" s="872" t="str">
        <f t="shared" si="5"/>
        <v>茨城県つくばみらい市</v>
      </c>
      <c r="AD292" s="884">
        <v>10.210000000000001</v>
      </c>
      <c r="AE292" s="865">
        <v>10.17</v>
      </c>
      <c r="AF292" s="875">
        <v>10.14</v>
      </c>
      <c r="AG292" s="44"/>
    </row>
    <row r="293" spans="22:33">
      <c r="V293" s="830" t="s">
        <v>625</v>
      </c>
      <c r="W293" s="830" t="s">
        <v>427</v>
      </c>
      <c r="X293" s="128"/>
      <c r="Y293" s="843" t="s">
        <v>1614</v>
      </c>
      <c r="Z293" s="849">
        <v>3.e-002</v>
      </c>
      <c r="AA293" s="860" t="s">
        <v>719</v>
      </c>
      <c r="AB293" s="865" t="s">
        <v>1729</v>
      </c>
      <c r="AC293" s="872" t="str">
        <f t="shared" si="5"/>
        <v>茨城県大洗町</v>
      </c>
      <c r="AD293" s="884">
        <v>10.210000000000001</v>
      </c>
      <c r="AE293" s="865">
        <v>10.17</v>
      </c>
      <c r="AF293" s="875">
        <v>10.14</v>
      </c>
      <c r="AG293" s="44"/>
    </row>
    <row r="294" spans="22:33">
      <c r="V294" s="830" t="s">
        <v>625</v>
      </c>
      <c r="W294" s="830" t="s">
        <v>1731</v>
      </c>
      <c r="X294" s="128"/>
      <c r="Y294" s="843" t="s">
        <v>1614</v>
      </c>
      <c r="Z294" s="849">
        <v>3.e-002</v>
      </c>
      <c r="AA294" s="860" t="s">
        <v>719</v>
      </c>
      <c r="AB294" s="865" t="s">
        <v>1732</v>
      </c>
      <c r="AC294" s="872" t="str">
        <f t="shared" si="5"/>
        <v>茨城県阿見町</v>
      </c>
      <c r="AD294" s="884">
        <v>10.210000000000001</v>
      </c>
      <c r="AE294" s="865">
        <v>10.17</v>
      </c>
      <c r="AF294" s="875">
        <v>10.14</v>
      </c>
      <c r="AG294" s="44"/>
    </row>
    <row r="295" spans="22:33">
      <c r="V295" s="830" t="s">
        <v>625</v>
      </c>
      <c r="W295" s="830" t="s">
        <v>1571</v>
      </c>
      <c r="X295" s="128"/>
      <c r="Y295" s="843" t="s">
        <v>1614</v>
      </c>
      <c r="Z295" s="849">
        <v>3.e-002</v>
      </c>
      <c r="AA295" s="860" t="s">
        <v>719</v>
      </c>
      <c r="AB295" s="865" t="s">
        <v>994</v>
      </c>
      <c r="AC295" s="872" t="str">
        <f t="shared" si="5"/>
        <v>茨城県河内町</v>
      </c>
      <c r="AD295" s="884">
        <v>10.210000000000001</v>
      </c>
      <c r="AE295" s="865">
        <v>10.17</v>
      </c>
      <c r="AF295" s="875">
        <v>10.14</v>
      </c>
      <c r="AG295" s="44"/>
    </row>
    <row r="296" spans="22:33">
      <c r="V296" s="830" t="s">
        <v>482</v>
      </c>
      <c r="W296" s="830" t="s">
        <v>1733</v>
      </c>
      <c r="X296" s="128"/>
      <c r="Y296" s="843" t="s">
        <v>1614</v>
      </c>
      <c r="Z296" s="849">
        <v>3.e-002</v>
      </c>
      <c r="AA296" s="860" t="s">
        <v>719</v>
      </c>
      <c r="AB296" s="865" t="s">
        <v>1394</v>
      </c>
      <c r="AC296" s="872" t="str">
        <f t="shared" si="5"/>
        <v>茨城県八千代町</v>
      </c>
      <c r="AD296" s="884">
        <v>10.210000000000001</v>
      </c>
      <c r="AE296" s="865">
        <v>10.17</v>
      </c>
      <c r="AF296" s="875">
        <v>10.14</v>
      </c>
      <c r="AG296" s="44"/>
    </row>
    <row r="297" spans="22:33">
      <c r="V297" s="830" t="s">
        <v>482</v>
      </c>
      <c r="W297" s="830" t="s">
        <v>626</v>
      </c>
      <c r="X297" s="128"/>
      <c r="Y297" s="843" t="s">
        <v>1614</v>
      </c>
      <c r="Z297" s="849">
        <v>3.e-002</v>
      </c>
      <c r="AA297" s="860" t="s">
        <v>719</v>
      </c>
      <c r="AB297" s="865" t="s">
        <v>1735</v>
      </c>
      <c r="AC297" s="872" t="str">
        <f t="shared" si="5"/>
        <v>茨城県五霞町</v>
      </c>
      <c r="AD297" s="884">
        <v>10.210000000000001</v>
      </c>
      <c r="AE297" s="865">
        <v>10.17</v>
      </c>
      <c r="AF297" s="875">
        <v>10.14</v>
      </c>
      <c r="AG297" s="44"/>
    </row>
    <row r="298" spans="22:33">
      <c r="V298" s="830" t="s">
        <v>482</v>
      </c>
      <c r="W298" s="830" t="s">
        <v>1737</v>
      </c>
      <c r="X298" s="128"/>
      <c r="Y298" s="843" t="s">
        <v>1614</v>
      </c>
      <c r="Z298" s="849">
        <v>3.e-002</v>
      </c>
      <c r="AA298" s="860" t="s">
        <v>719</v>
      </c>
      <c r="AB298" s="865" t="s">
        <v>1738</v>
      </c>
      <c r="AC298" s="872" t="str">
        <f t="shared" si="5"/>
        <v>茨城県境町</v>
      </c>
      <c r="AD298" s="884">
        <v>10.210000000000001</v>
      </c>
      <c r="AE298" s="865">
        <v>10.17</v>
      </c>
      <c r="AF298" s="875">
        <v>10.14</v>
      </c>
      <c r="AG298" s="44"/>
    </row>
    <row r="299" spans="22:33">
      <c r="V299" s="830" t="s">
        <v>482</v>
      </c>
      <c r="W299" s="830" t="s">
        <v>763</v>
      </c>
      <c r="X299" s="128"/>
      <c r="Y299" s="843" t="s">
        <v>1614</v>
      </c>
      <c r="Z299" s="849">
        <v>3.e-002</v>
      </c>
      <c r="AA299" s="860" t="s">
        <v>661</v>
      </c>
      <c r="AB299" s="865" t="s">
        <v>780</v>
      </c>
      <c r="AC299" s="872" t="str">
        <f t="shared" si="5"/>
        <v>栃木県栃木市</v>
      </c>
      <c r="AD299" s="884">
        <v>10.210000000000001</v>
      </c>
      <c r="AE299" s="865">
        <v>10.17</v>
      </c>
      <c r="AF299" s="875">
        <v>10.14</v>
      </c>
      <c r="AG299" s="44"/>
    </row>
    <row r="300" spans="22:33">
      <c r="V300" s="830" t="s">
        <v>482</v>
      </c>
      <c r="W300" s="830" t="s">
        <v>1136</v>
      </c>
      <c r="X300" s="128"/>
      <c r="Y300" s="843" t="s">
        <v>1614</v>
      </c>
      <c r="Z300" s="849">
        <v>3.e-002</v>
      </c>
      <c r="AA300" s="860" t="s">
        <v>661</v>
      </c>
      <c r="AB300" s="865" t="s">
        <v>1739</v>
      </c>
      <c r="AC300" s="872" t="str">
        <f t="shared" si="5"/>
        <v>栃木県鹿沼市</v>
      </c>
      <c r="AD300" s="884">
        <v>10.210000000000001</v>
      </c>
      <c r="AE300" s="865">
        <v>10.17</v>
      </c>
      <c r="AF300" s="875">
        <v>10.14</v>
      </c>
      <c r="AG300" s="44"/>
    </row>
    <row r="301" spans="22:33">
      <c r="V301" s="830" t="s">
        <v>482</v>
      </c>
      <c r="W301" s="830" t="s">
        <v>1740</v>
      </c>
      <c r="X301" s="128"/>
      <c r="Y301" s="843" t="s">
        <v>1614</v>
      </c>
      <c r="Z301" s="849">
        <v>3.e-002</v>
      </c>
      <c r="AA301" s="860" t="s">
        <v>661</v>
      </c>
      <c r="AB301" s="865" t="s">
        <v>1741</v>
      </c>
      <c r="AC301" s="872" t="str">
        <f t="shared" si="5"/>
        <v>栃木県日光市</v>
      </c>
      <c r="AD301" s="884">
        <v>10.210000000000001</v>
      </c>
      <c r="AE301" s="865">
        <v>10.17</v>
      </c>
      <c r="AF301" s="875">
        <v>10.14</v>
      </c>
      <c r="AG301" s="44"/>
    </row>
    <row r="302" spans="22:33">
      <c r="V302" s="830" t="s">
        <v>482</v>
      </c>
      <c r="W302" s="830" t="s">
        <v>1460</v>
      </c>
      <c r="X302" s="128"/>
      <c r="Y302" s="843" t="s">
        <v>1614</v>
      </c>
      <c r="Z302" s="849">
        <v>3.e-002</v>
      </c>
      <c r="AA302" s="860" t="s">
        <v>661</v>
      </c>
      <c r="AB302" s="865" t="s">
        <v>1742</v>
      </c>
      <c r="AC302" s="872" t="str">
        <f t="shared" si="5"/>
        <v>栃木県小山市</v>
      </c>
      <c r="AD302" s="884">
        <v>10.210000000000001</v>
      </c>
      <c r="AE302" s="865">
        <v>10.17</v>
      </c>
      <c r="AF302" s="875">
        <v>10.14</v>
      </c>
      <c r="AG302" s="44"/>
    </row>
    <row r="303" spans="22:33">
      <c r="V303" s="830" t="s">
        <v>482</v>
      </c>
      <c r="W303" s="830" t="s">
        <v>1223</v>
      </c>
      <c r="X303" s="128"/>
      <c r="Y303" s="843" t="s">
        <v>1614</v>
      </c>
      <c r="Z303" s="849">
        <v>3.e-002</v>
      </c>
      <c r="AA303" s="860" t="s">
        <v>661</v>
      </c>
      <c r="AB303" s="865" t="s">
        <v>761</v>
      </c>
      <c r="AC303" s="872" t="str">
        <f t="shared" si="5"/>
        <v>栃木県真岡市</v>
      </c>
      <c r="AD303" s="884">
        <v>10.210000000000001</v>
      </c>
      <c r="AE303" s="865">
        <v>10.17</v>
      </c>
      <c r="AF303" s="875">
        <v>10.14</v>
      </c>
      <c r="AG303" s="44"/>
    </row>
    <row r="304" spans="22:33">
      <c r="V304" s="830" t="s">
        <v>482</v>
      </c>
      <c r="W304" s="830" t="s">
        <v>1744</v>
      </c>
      <c r="X304" s="128"/>
      <c r="Y304" s="843" t="s">
        <v>1614</v>
      </c>
      <c r="Z304" s="849">
        <v>3.e-002</v>
      </c>
      <c r="AA304" s="860" t="s">
        <v>661</v>
      </c>
      <c r="AB304" s="865" t="s">
        <v>1746</v>
      </c>
      <c r="AC304" s="872" t="str">
        <f t="shared" si="5"/>
        <v>栃木県大田原市</v>
      </c>
      <c r="AD304" s="884">
        <v>10.210000000000001</v>
      </c>
      <c r="AE304" s="865">
        <v>10.17</v>
      </c>
      <c r="AF304" s="875">
        <v>10.14</v>
      </c>
      <c r="AG304" s="44"/>
    </row>
    <row r="305" spans="22:33">
      <c r="V305" s="830" t="s">
        <v>482</v>
      </c>
      <c r="W305" s="830" t="s">
        <v>1747</v>
      </c>
      <c r="X305" s="128"/>
      <c r="Y305" s="843" t="s">
        <v>1614</v>
      </c>
      <c r="Z305" s="849">
        <v>3.e-002</v>
      </c>
      <c r="AA305" s="860" t="s">
        <v>661</v>
      </c>
      <c r="AB305" s="865" t="s">
        <v>1640</v>
      </c>
      <c r="AC305" s="872" t="str">
        <f t="shared" si="5"/>
        <v>栃木県さくら市</v>
      </c>
      <c r="AD305" s="884">
        <v>10.210000000000001</v>
      </c>
      <c r="AE305" s="865">
        <v>10.17</v>
      </c>
      <c r="AF305" s="875">
        <v>10.14</v>
      </c>
      <c r="AG305" s="44"/>
    </row>
    <row r="306" spans="22:33">
      <c r="V306" s="830" t="s">
        <v>482</v>
      </c>
      <c r="W306" s="830" t="s">
        <v>1748</v>
      </c>
      <c r="X306" s="128"/>
      <c r="Y306" s="843" t="s">
        <v>1614</v>
      </c>
      <c r="Z306" s="849">
        <v>3.e-002</v>
      </c>
      <c r="AA306" s="860" t="s">
        <v>661</v>
      </c>
      <c r="AB306" s="865" t="s">
        <v>1749</v>
      </c>
      <c r="AC306" s="872" t="str">
        <f t="shared" si="5"/>
        <v>栃木県下野市</v>
      </c>
      <c r="AD306" s="884">
        <v>10.210000000000001</v>
      </c>
      <c r="AE306" s="865">
        <v>10.17</v>
      </c>
      <c r="AF306" s="875">
        <v>10.14</v>
      </c>
      <c r="AG306" s="44"/>
    </row>
    <row r="307" spans="22:33">
      <c r="V307" s="830" t="s">
        <v>482</v>
      </c>
      <c r="W307" s="830" t="s">
        <v>1750</v>
      </c>
      <c r="X307" s="128"/>
      <c r="Y307" s="843" t="s">
        <v>1614</v>
      </c>
      <c r="Z307" s="849">
        <v>3.e-002</v>
      </c>
      <c r="AA307" s="860" t="s">
        <v>661</v>
      </c>
      <c r="AB307" s="865" t="s">
        <v>1751</v>
      </c>
      <c r="AC307" s="872" t="str">
        <f t="shared" si="5"/>
        <v>栃木県壬生町</v>
      </c>
      <c r="AD307" s="884">
        <v>10.210000000000001</v>
      </c>
      <c r="AE307" s="865">
        <v>10.17</v>
      </c>
      <c r="AF307" s="875">
        <v>10.14</v>
      </c>
      <c r="AG307" s="44"/>
    </row>
    <row r="308" spans="22:33">
      <c r="V308" s="830" t="s">
        <v>482</v>
      </c>
      <c r="W308" s="830" t="s">
        <v>1753</v>
      </c>
      <c r="X308" s="128"/>
      <c r="Y308" s="843" t="s">
        <v>1614</v>
      </c>
      <c r="Z308" s="849">
        <v>3.e-002</v>
      </c>
      <c r="AA308" s="860" t="s">
        <v>969</v>
      </c>
      <c r="AB308" s="865" t="s">
        <v>173</v>
      </c>
      <c r="AC308" s="872" t="str">
        <f t="shared" si="5"/>
        <v>群馬県前橋市</v>
      </c>
      <c r="AD308" s="884">
        <v>10.210000000000001</v>
      </c>
      <c r="AE308" s="865">
        <v>10.17</v>
      </c>
      <c r="AF308" s="875">
        <v>10.14</v>
      </c>
      <c r="AG308" s="44"/>
    </row>
    <row r="309" spans="22:33">
      <c r="V309" s="830" t="s">
        <v>482</v>
      </c>
      <c r="W309" s="830" t="s">
        <v>1755</v>
      </c>
      <c r="X309" s="128"/>
      <c r="Y309" s="843" t="s">
        <v>1614</v>
      </c>
      <c r="Z309" s="849">
        <v>3.e-002</v>
      </c>
      <c r="AA309" s="860" t="s">
        <v>969</v>
      </c>
      <c r="AB309" s="865" t="s">
        <v>1756</v>
      </c>
      <c r="AC309" s="872" t="str">
        <f t="shared" si="5"/>
        <v>群馬県伊勢崎市</v>
      </c>
      <c r="AD309" s="884">
        <v>10.210000000000001</v>
      </c>
      <c r="AE309" s="865">
        <v>10.17</v>
      </c>
      <c r="AF309" s="875">
        <v>10.14</v>
      </c>
      <c r="AG309" s="44"/>
    </row>
    <row r="310" spans="22:33">
      <c r="V310" s="830" t="s">
        <v>482</v>
      </c>
      <c r="W310" s="830" t="s">
        <v>1757</v>
      </c>
      <c r="X310" s="128"/>
      <c r="Y310" s="843" t="s">
        <v>1614</v>
      </c>
      <c r="Z310" s="849">
        <v>3.e-002</v>
      </c>
      <c r="AA310" s="860" t="s">
        <v>969</v>
      </c>
      <c r="AB310" s="865" t="s">
        <v>1758</v>
      </c>
      <c r="AC310" s="872" t="str">
        <f t="shared" si="5"/>
        <v>群馬県太田市</v>
      </c>
      <c r="AD310" s="884">
        <v>10.210000000000001</v>
      </c>
      <c r="AE310" s="865">
        <v>10.17</v>
      </c>
      <c r="AF310" s="875">
        <v>10.14</v>
      </c>
      <c r="AG310" s="44"/>
    </row>
    <row r="311" spans="22:33">
      <c r="V311" s="830" t="s">
        <v>482</v>
      </c>
      <c r="W311" s="830" t="s">
        <v>1759</v>
      </c>
      <c r="X311" s="128"/>
      <c r="Y311" s="843" t="s">
        <v>1614</v>
      </c>
      <c r="Z311" s="849">
        <v>3.e-002</v>
      </c>
      <c r="AA311" s="860" t="s">
        <v>969</v>
      </c>
      <c r="AB311" s="865" t="s">
        <v>1760</v>
      </c>
      <c r="AC311" s="872" t="str">
        <f t="shared" si="5"/>
        <v>群馬県渋川市</v>
      </c>
      <c r="AD311" s="884">
        <v>10.210000000000001</v>
      </c>
      <c r="AE311" s="865">
        <v>10.17</v>
      </c>
      <c r="AF311" s="875">
        <v>10.14</v>
      </c>
      <c r="AG311" s="44"/>
    </row>
    <row r="312" spans="22:33">
      <c r="V312" s="830" t="s">
        <v>482</v>
      </c>
      <c r="W312" s="830" t="s">
        <v>1761</v>
      </c>
      <c r="X312" s="128"/>
      <c r="Y312" s="843" t="s">
        <v>1614</v>
      </c>
      <c r="Z312" s="849">
        <v>3.e-002</v>
      </c>
      <c r="AA312" s="860" t="s">
        <v>969</v>
      </c>
      <c r="AB312" s="865" t="s">
        <v>820</v>
      </c>
      <c r="AC312" s="872" t="str">
        <f t="shared" si="5"/>
        <v>群馬県榛東村</v>
      </c>
      <c r="AD312" s="884">
        <v>10.210000000000001</v>
      </c>
      <c r="AE312" s="865">
        <v>10.17</v>
      </c>
      <c r="AF312" s="875">
        <v>10.14</v>
      </c>
      <c r="AG312" s="44"/>
    </row>
    <row r="313" spans="22:33">
      <c r="V313" s="830" t="s">
        <v>482</v>
      </c>
      <c r="W313" s="830" t="s">
        <v>1196</v>
      </c>
      <c r="X313" s="128"/>
      <c r="Y313" s="843" t="s">
        <v>1614</v>
      </c>
      <c r="Z313" s="849">
        <v>3.e-002</v>
      </c>
      <c r="AA313" s="860" t="s">
        <v>969</v>
      </c>
      <c r="AB313" s="865" t="s">
        <v>1762</v>
      </c>
      <c r="AC313" s="872" t="str">
        <f t="shared" si="5"/>
        <v>群馬県吉岡町</v>
      </c>
      <c r="AD313" s="884">
        <v>10.210000000000001</v>
      </c>
      <c r="AE313" s="865">
        <v>10.17</v>
      </c>
      <c r="AF313" s="875">
        <v>10.14</v>
      </c>
      <c r="AG313" s="44"/>
    </row>
    <row r="314" spans="22:33">
      <c r="V314" s="830" t="s">
        <v>482</v>
      </c>
      <c r="W314" s="830" t="s">
        <v>1078</v>
      </c>
      <c r="X314" s="128"/>
      <c r="Y314" s="843" t="s">
        <v>1614</v>
      </c>
      <c r="Z314" s="849">
        <v>3.e-002</v>
      </c>
      <c r="AA314" s="860" t="s">
        <v>969</v>
      </c>
      <c r="AB314" s="865" t="s">
        <v>726</v>
      </c>
      <c r="AC314" s="872" t="str">
        <f t="shared" si="5"/>
        <v>群馬県玉村町</v>
      </c>
      <c r="AD314" s="884">
        <v>10.210000000000001</v>
      </c>
      <c r="AE314" s="865">
        <v>10.17</v>
      </c>
      <c r="AF314" s="875">
        <v>10.14</v>
      </c>
      <c r="AG314" s="44"/>
    </row>
    <row r="315" spans="22:33">
      <c r="V315" s="830" t="s">
        <v>482</v>
      </c>
      <c r="W315" s="830" t="s">
        <v>133</v>
      </c>
      <c r="X315" s="128"/>
      <c r="Y315" s="843" t="s">
        <v>1614</v>
      </c>
      <c r="Z315" s="849">
        <v>3.e-002</v>
      </c>
      <c r="AA315" s="860" t="s">
        <v>986</v>
      </c>
      <c r="AB315" s="865" t="s">
        <v>1763</v>
      </c>
      <c r="AC315" s="872" t="str">
        <f t="shared" si="5"/>
        <v>埼玉県熊谷市</v>
      </c>
      <c r="AD315" s="884">
        <v>10.210000000000001</v>
      </c>
      <c r="AE315" s="865">
        <v>10.17</v>
      </c>
      <c r="AF315" s="875">
        <v>10.14</v>
      </c>
      <c r="AG315" s="44"/>
    </row>
    <row r="316" spans="22:33">
      <c r="V316" s="830" t="s">
        <v>482</v>
      </c>
      <c r="W316" s="830" t="s">
        <v>62</v>
      </c>
      <c r="X316" s="128"/>
      <c r="Y316" s="843" t="s">
        <v>1614</v>
      </c>
      <c r="Z316" s="849">
        <v>3.e-002</v>
      </c>
      <c r="AA316" s="860" t="s">
        <v>986</v>
      </c>
      <c r="AB316" s="865" t="s">
        <v>1344</v>
      </c>
      <c r="AC316" s="872" t="str">
        <f t="shared" si="5"/>
        <v>埼玉県深谷市</v>
      </c>
      <c r="AD316" s="884">
        <v>10.210000000000001</v>
      </c>
      <c r="AE316" s="865">
        <v>10.17</v>
      </c>
      <c r="AF316" s="875">
        <v>10.14</v>
      </c>
      <c r="AG316" s="44"/>
    </row>
    <row r="317" spans="22:33">
      <c r="V317" s="830" t="s">
        <v>482</v>
      </c>
      <c r="W317" s="830" t="s">
        <v>943</v>
      </c>
      <c r="X317" s="128"/>
      <c r="Y317" s="843" t="s">
        <v>1614</v>
      </c>
      <c r="Z317" s="849">
        <v>3.e-002</v>
      </c>
      <c r="AA317" s="860" t="s">
        <v>986</v>
      </c>
      <c r="AB317" s="865" t="s">
        <v>1766</v>
      </c>
      <c r="AC317" s="872" t="str">
        <f t="shared" si="5"/>
        <v>埼玉県日高市</v>
      </c>
      <c r="AD317" s="884">
        <v>10.210000000000001</v>
      </c>
      <c r="AE317" s="865">
        <v>10.17</v>
      </c>
      <c r="AF317" s="875">
        <v>10.14</v>
      </c>
      <c r="AG317" s="44"/>
    </row>
    <row r="318" spans="22:33">
      <c r="V318" s="830" t="s">
        <v>482</v>
      </c>
      <c r="W318" s="830" t="s">
        <v>935</v>
      </c>
      <c r="X318" s="128"/>
      <c r="Y318" s="843" t="s">
        <v>1614</v>
      </c>
      <c r="Z318" s="849">
        <v>3.e-002</v>
      </c>
      <c r="AA318" s="860" t="s">
        <v>986</v>
      </c>
      <c r="AB318" s="865" t="s">
        <v>1271</v>
      </c>
      <c r="AC318" s="872" t="str">
        <f t="shared" si="5"/>
        <v>埼玉県毛呂山町</v>
      </c>
      <c r="AD318" s="884">
        <v>10.210000000000001</v>
      </c>
      <c r="AE318" s="865">
        <v>10.17</v>
      </c>
      <c r="AF318" s="875">
        <v>10.14</v>
      </c>
      <c r="AG318" s="44"/>
    </row>
    <row r="319" spans="22:33">
      <c r="V319" s="830" t="s">
        <v>482</v>
      </c>
      <c r="W319" s="830" t="s">
        <v>575</v>
      </c>
      <c r="X319" s="128"/>
      <c r="Y319" s="843" t="s">
        <v>1614</v>
      </c>
      <c r="Z319" s="849">
        <v>3.e-002</v>
      </c>
      <c r="AA319" s="860" t="s">
        <v>986</v>
      </c>
      <c r="AB319" s="865" t="s">
        <v>1767</v>
      </c>
      <c r="AC319" s="872" t="str">
        <f t="shared" si="5"/>
        <v>埼玉県越生町</v>
      </c>
      <c r="AD319" s="884">
        <v>10.210000000000001</v>
      </c>
      <c r="AE319" s="865">
        <v>10.17</v>
      </c>
      <c r="AF319" s="875">
        <v>10.14</v>
      </c>
      <c r="AG319" s="44"/>
    </row>
    <row r="320" spans="22:33">
      <c r="V320" s="830" t="s">
        <v>482</v>
      </c>
      <c r="W320" s="830" t="s">
        <v>1768</v>
      </c>
      <c r="X320" s="128"/>
      <c r="Y320" s="843" t="s">
        <v>1614</v>
      </c>
      <c r="Z320" s="849">
        <v>3.e-002</v>
      </c>
      <c r="AA320" s="860" t="s">
        <v>986</v>
      </c>
      <c r="AB320" s="865" t="s">
        <v>1769</v>
      </c>
      <c r="AC320" s="872" t="str">
        <f t="shared" si="5"/>
        <v>埼玉県滑川町</v>
      </c>
      <c r="AD320" s="884">
        <v>10.210000000000001</v>
      </c>
      <c r="AE320" s="865">
        <v>10.17</v>
      </c>
      <c r="AF320" s="875">
        <v>10.14</v>
      </c>
      <c r="AG320" s="44"/>
    </row>
    <row r="321" spans="22:33">
      <c r="V321" s="830" t="s">
        <v>666</v>
      </c>
      <c r="W321" s="830" t="s">
        <v>1770</v>
      </c>
      <c r="X321" s="128"/>
      <c r="Y321" s="843" t="s">
        <v>1614</v>
      </c>
      <c r="Z321" s="849">
        <v>3.e-002</v>
      </c>
      <c r="AA321" s="860" t="s">
        <v>986</v>
      </c>
      <c r="AB321" s="865" t="s">
        <v>1771</v>
      </c>
      <c r="AC321" s="872" t="str">
        <f t="shared" si="5"/>
        <v>埼玉県川島町</v>
      </c>
      <c r="AD321" s="884">
        <v>10.210000000000001</v>
      </c>
      <c r="AE321" s="865">
        <v>10.17</v>
      </c>
      <c r="AF321" s="875">
        <v>10.14</v>
      </c>
      <c r="AG321" s="44"/>
    </row>
    <row r="322" spans="22:33">
      <c r="V322" s="830" t="s">
        <v>666</v>
      </c>
      <c r="W322" s="830" t="s">
        <v>1700</v>
      </c>
      <c r="X322" s="128"/>
      <c r="Y322" s="843" t="s">
        <v>1614</v>
      </c>
      <c r="Z322" s="849">
        <v>3.e-002</v>
      </c>
      <c r="AA322" s="860" t="s">
        <v>986</v>
      </c>
      <c r="AB322" s="865" t="s">
        <v>1531</v>
      </c>
      <c r="AC322" s="872" t="str">
        <f t="shared" si="5"/>
        <v>埼玉県吉見町</v>
      </c>
      <c r="AD322" s="884">
        <v>10.210000000000001</v>
      </c>
      <c r="AE322" s="865">
        <v>10.17</v>
      </c>
      <c r="AF322" s="875">
        <v>10.14</v>
      </c>
      <c r="AG322" s="44"/>
    </row>
    <row r="323" spans="22:33">
      <c r="V323" s="830" t="s">
        <v>666</v>
      </c>
      <c r="W323" s="830" t="s">
        <v>123</v>
      </c>
      <c r="X323" s="128"/>
      <c r="Y323" s="843" t="s">
        <v>1614</v>
      </c>
      <c r="Z323" s="849">
        <v>3.e-002</v>
      </c>
      <c r="AA323" s="860" t="s">
        <v>986</v>
      </c>
      <c r="AB323" s="865" t="s">
        <v>1772</v>
      </c>
      <c r="AC323" s="872" t="str">
        <f t="shared" ref="AC323:AC386" si="6">AA323&amp;AB323</f>
        <v>埼玉県鳩山町</v>
      </c>
      <c r="AD323" s="884">
        <v>10.210000000000001</v>
      </c>
      <c r="AE323" s="865">
        <v>10.17</v>
      </c>
      <c r="AF323" s="875">
        <v>10.14</v>
      </c>
      <c r="AG323" s="44"/>
    </row>
    <row r="324" spans="22:33">
      <c r="V324" s="830" t="s">
        <v>666</v>
      </c>
      <c r="W324" s="830" t="s">
        <v>751</v>
      </c>
      <c r="X324" s="128"/>
      <c r="Y324" s="843" t="s">
        <v>1614</v>
      </c>
      <c r="Z324" s="849">
        <v>3.e-002</v>
      </c>
      <c r="AA324" s="860" t="s">
        <v>986</v>
      </c>
      <c r="AB324" s="865" t="s">
        <v>1773</v>
      </c>
      <c r="AC324" s="872" t="str">
        <f t="shared" si="6"/>
        <v>埼玉県寄居町</v>
      </c>
      <c r="AD324" s="884">
        <v>10.210000000000001</v>
      </c>
      <c r="AE324" s="865">
        <v>10.17</v>
      </c>
      <c r="AF324" s="875">
        <v>10.14</v>
      </c>
      <c r="AG324" s="44"/>
    </row>
    <row r="325" spans="22:33">
      <c r="V325" s="830" t="s">
        <v>666</v>
      </c>
      <c r="W325" s="830" t="s">
        <v>1433</v>
      </c>
      <c r="X325" s="128"/>
      <c r="Y325" s="843" t="s">
        <v>1614</v>
      </c>
      <c r="Z325" s="849">
        <v>3.e-002</v>
      </c>
      <c r="AA325" s="860" t="s">
        <v>96</v>
      </c>
      <c r="AB325" s="865" t="s">
        <v>1776</v>
      </c>
      <c r="AC325" s="872" t="str">
        <f t="shared" si="6"/>
        <v>千葉県東金市</v>
      </c>
      <c r="AD325" s="884">
        <v>10.210000000000001</v>
      </c>
      <c r="AE325" s="865">
        <v>10.17</v>
      </c>
      <c r="AF325" s="875">
        <v>10.14</v>
      </c>
      <c r="AG325" s="44"/>
    </row>
    <row r="326" spans="22:33">
      <c r="V326" s="830" t="s">
        <v>666</v>
      </c>
      <c r="W326" s="830" t="s">
        <v>1778</v>
      </c>
      <c r="X326" s="128"/>
      <c r="Y326" s="843" t="s">
        <v>1614</v>
      </c>
      <c r="Z326" s="849">
        <v>3.e-002</v>
      </c>
      <c r="AA326" s="860" t="s">
        <v>96</v>
      </c>
      <c r="AB326" s="865" t="s">
        <v>1779</v>
      </c>
      <c r="AC326" s="872" t="str">
        <f t="shared" si="6"/>
        <v>千葉県君津市</v>
      </c>
      <c r="AD326" s="884">
        <v>10.210000000000001</v>
      </c>
      <c r="AE326" s="865">
        <v>10.17</v>
      </c>
      <c r="AF326" s="875">
        <v>10.14</v>
      </c>
      <c r="AG326" s="44"/>
    </row>
    <row r="327" spans="22:33">
      <c r="V327" s="830" t="s">
        <v>666</v>
      </c>
      <c r="W327" s="830" t="s">
        <v>1781</v>
      </c>
      <c r="X327" s="128"/>
      <c r="Y327" s="843" t="s">
        <v>1614</v>
      </c>
      <c r="Z327" s="849">
        <v>3.e-002</v>
      </c>
      <c r="AA327" s="860" t="s">
        <v>96</v>
      </c>
      <c r="AB327" s="865" t="s">
        <v>1782</v>
      </c>
      <c r="AC327" s="872" t="str">
        <f t="shared" si="6"/>
        <v>千葉県富津市</v>
      </c>
      <c r="AD327" s="884">
        <v>10.210000000000001</v>
      </c>
      <c r="AE327" s="865">
        <v>10.17</v>
      </c>
      <c r="AF327" s="875">
        <v>10.14</v>
      </c>
      <c r="AG327" s="44"/>
    </row>
    <row r="328" spans="22:33">
      <c r="V328" s="830" t="s">
        <v>666</v>
      </c>
      <c r="W328" s="830" t="s">
        <v>1784</v>
      </c>
      <c r="X328" s="128"/>
      <c r="Y328" s="843" t="s">
        <v>1614</v>
      </c>
      <c r="Z328" s="849">
        <v>3.e-002</v>
      </c>
      <c r="AA328" s="860" t="s">
        <v>96</v>
      </c>
      <c r="AB328" s="865" t="s">
        <v>65</v>
      </c>
      <c r="AC328" s="872" t="str">
        <f t="shared" si="6"/>
        <v>千葉県八街市</v>
      </c>
      <c r="AD328" s="884">
        <v>10.210000000000001</v>
      </c>
      <c r="AE328" s="865">
        <v>10.17</v>
      </c>
      <c r="AF328" s="875">
        <v>10.14</v>
      </c>
      <c r="AG328" s="44"/>
    </row>
    <row r="329" spans="22:33">
      <c r="V329" s="830" t="s">
        <v>666</v>
      </c>
      <c r="W329" s="830" t="s">
        <v>1785</v>
      </c>
      <c r="X329" s="128"/>
      <c r="Y329" s="843" t="s">
        <v>1614</v>
      </c>
      <c r="Z329" s="849">
        <v>3.e-002</v>
      </c>
      <c r="AA329" s="860" t="s">
        <v>96</v>
      </c>
      <c r="AB329" s="865" t="s">
        <v>1787</v>
      </c>
      <c r="AC329" s="872" t="str">
        <f t="shared" si="6"/>
        <v>千葉県富里市</v>
      </c>
      <c r="AD329" s="884">
        <v>10.210000000000001</v>
      </c>
      <c r="AE329" s="865">
        <v>10.17</v>
      </c>
      <c r="AF329" s="875">
        <v>10.14</v>
      </c>
      <c r="AG329" s="44"/>
    </row>
    <row r="330" spans="22:33">
      <c r="V330" s="830" t="s">
        <v>666</v>
      </c>
      <c r="W330" s="830" t="s">
        <v>1789</v>
      </c>
      <c r="X330" s="128"/>
      <c r="Y330" s="843" t="s">
        <v>1614</v>
      </c>
      <c r="Z330" s="849">
        <v>3.e-002</v>
      </c>
      <c r="AA330" s="860" t="s">
        <v>96</v>
      </c>
      <c r="AB330" s="865" t="s">
        <v>1790</v>
      </c>
      <c r="AC330" s="872" t="str">
        <f t="shared" si="6"/>
        <v>千葉県山武市</v>
      </c>
      <c r="AD330" s="884">
        <v>10.210000000000001</v>
      </c>
      <c r="AE330" s="865">
        <v>10.17</v>
      </c>
      <c r="AF330" s="875">
        <v>10.14</v>
      </c>
      <c r="AG330" s="44"/>
    </row>
    <row r="331" spans="22:33">
      <c r="V331" s="830" t="s">
        <v>666</v>
      </c>
      <c r="W331" s="830" t="s">
        <v>338</v>
      </c>
      <c r="X331" s="128"/>
      <c r="Y331" s="843" t="s">
        <v>1614</v>
      </c>
      <c r="Z331" s="849">
        <v>3.e-002</v>
      </c>
      <c r="AA331" s="860" t="s">
        <v>96</v>
      </c>
      <c r="AB331" s="865" t="s">
        <v>774</v>
      </c>
      <c r="AC331" s="872" t="str">
        <f t="shared" si="6"/>
        <v>千葉県大網白里市</v>
      </c>
      <c r="AD331" s="884">
        <v>10.210000000000001</v>
      </c>
      <c r="AE331" s="865">
        <v>10.17</v>
      </c>
      <c r="AF331" s="875">
        <v>10.14</v>
      </c>
      <c r="AG331" s="44"/>
    </row>
    <row r="332" spans="22:33">
      <c r="V332" s="830" t="s">
        <v>666</v>
      </c>
      <c r="W332" s="830" t="s">
        <v>683</v>
      </c>
      <c r="X332" s="128"/>
      <c r="Y332" s="843" t="s">
        <v>1614</v>
      </c>
      <c r="Z332" s="849">
        <v>3.e-002</v>
      </c>
      <c r="AA332" s="860" t="s">
        <v>96</v>
      </c>
      <c r="AB332" s="865" t="s">
        <v>1042</v>
      </c>
      <c r="AC332" s="872" t="str">
        <f t="shared" si="6"/>
        <v>千葉県長柄町</v>
      </c>
      <c r="AD332" s="884">
        <v>10.210000000000001</v>
      </c>
      <c r="AE332" s="865">
        <v>10.17</v>
      </c>
      <c r="AF332" s="875">
        <v>10.14</v>
      </c>
      <c r="AG332" s="44"/>
    </row>
    <row r="333" spans="22:33">
      <c r="V333" s="830" t="s">
        <v>666</v>
      </c>
      <c r="W333" s="830" t="s">
        <v>569</v>
      </c>
      <c r="X333" s="128"/>
      <c r="Y333" s="843" t="s">
        <v>1614</v>
      </c>
      <c r="Z333" s="849">
        <v>3.e-002</v>
      </c>
      <c r="AA333" s="860" t="s">
        <v>96</v>
      </c>
      <c r="AB333" s="865" t="s">
        <v>949</v>
      </c>
      <c r="AC333" s="872" t="str">
        <f t="shared" si="6"/>
        <v>千葉県長南町</v>
      </c>
      <c r="AD333" s="884">
        <v>10.210000000000001</v>
      </c>
      <c r="AE333" s="865">
        <v>10.17</v>
      </c>
      <c r="AF333" s="875">
        <v>10.14</v>
      </c>
      <c r="AG333" s="44"/>
    </row>
    <row r="334" spans="22:33">
      <c r="V334" s="830" t="s">
        <v>666</v>
      </c>
      <c r="W334" s="830" t="s">
        <v>1791</v>
      </c>
      <c r="X334" s="128"/>
      <c r="Y334" s="843" t="s">
        <v>1614</v>
      </c>
      <c r="Z334" s="849">
        <v>3.e-002</v>
      </c>
      <c r="AA334" s="860" t="s">
        <v>1007</v>
      </c>
      <c r="AB334" s="865" t="s">
        <v>1793</v>
      </c>
      <c r="AC334" s="872" t="str">
        <f t="shared" si="6"/>
        <v>神奈川県南足柄市</v>
      </c>
      <c r="AD334" s="884">
        <v>10.210000000000001</v>
      </c>
      <c r="AE334" s="865">
        <v>10.17</v>
      </c>
      <c r="AF334" s="875">
        <v>10.14</v>
      </c>
      <c r="AG334" s="44"/>
    </row>
    <row r="335" spans="22:33">
      <c r="V335" s="830" t="s">
        <v>666</v>
      </c>
      <c r="W335" s="830" t="s">
        <v>767</v>
      </c>
      <c r="X335" s="128"/>
      <c r="Y335" s="843" t="s">
        <v>1614</v>
      </c>
      <c r="Z335" s="849">
        <v>3.e-002</v>
      </c>
      <c r="AA335" s="860" t="s">
        <v>1007</v>
      </c>
      <c r="AB335" s="865" t="s">
        <v>1794</v>
      </c>
      <c r="AC335" s="872" t="str">
        <f t="shared" si="6"/>
        <v>神奈川県山北町</v>
      </c>
      <c r="AD335" s="884">
        <v>10.210000000000001</v>
      </c>
      <c r="AE335" s="865">
        <v>10.17</v>
      </c>
      <c r="AF335" s="875">
        <v>10.14</v>
      </c>
      <c r="AG335" s="44"/>
    </row>
    <row r="336" spans="22:33">
      <c r="V336" s="830" t="s">
        <v>666</v>
      </c>
      <c r="W336" s="830" t="s">
        <v>1796</v>
      </c>
      <c r="X336" s="128"/>
      <c r="Y336" s="843" t="s">
        <v>1614</v>
      </c>
      <c r="Z336" s="849">
        <v>3.e-002</v>
      </c>
      <c r="AA336" s="860" t="s">
        <v>1007</v>
      </c>
      <c r="AB336" s="865" t="s">
        <v>1798</v>
      </c>
      <c r="AC336" s="872" t="str">
        <f t="shared" si="6"/>
        <v>神奈川県箱根町</v>
      </c>
      <c r="AD336" s="884">
        <v>10.210000000000001</v>
      </c>
      <c r="AE336" s="865">
        <v>10.17</v>
      </c>
      <c r="AF336" s="875">
        <v>10.14</v>
      </c>
      <c r="AG336" s="44"/>
    </row>
    <row r="337" spans="22:33">
      <c r="V337" s="830" t="s">
        <v>666</v>
      </c>
      <c r="W337" s="830" t="s">
        <v>1800</v>
      </c>
      <c r="X337" s="128"/>
      <c r="Y337" s="843" t="s">
        <v>1614</v>
      </c>
      <c r="Z337" s="849">
        <v>3.e-002</v>
      </c>
      <c r="AA337" s="860" t="s">
        <v>602</v>
      </c>
      <c r="AB337" s="865" t="s">
        <v>1314</v>
      </c>
      <c r="AC337" s="872" t="str">
        <f t="shared" si="6"/>
        <v>新潟県新潟市</v>
      </c>
      <c r="AD337" s="884">
        <v>10.210000000000001</v>
      </c>
      <c r="AE337" s="865">
        <v>10.17</v>
      </c>
      <c r="AF337" s="875">
        <v>10.14</v>
      </c>
      <c r="AG337" s="44"/>
    </row>
    <row r="338" spans="22:33">
      <c r="V338" s="830" t="s">
        <v>666</v>
      </c>
      <c r="W338" s="830" t="s">
        <v>1801</v>
      </c>
      <c r="X338" s="128"/>
      <c r="Y338" s="843" t="s">
        <v>1614</v>
      </c>
      <c r="Z338" s="849">
        <v>3.e-002</v>
      </c>
      <c r="AA338" s="860" t="s">
        <v>1025</v>
      </c>
      <c r="AB338" s="865" t="s">
        <v>915</v>
      </c>
      <c r="AC338" s="872" t="str">
        <f t="shared" si="6"/>
        <v>富山県富山市</v>
      </c>
      <c r="AD338" s="884">
        <v>10.210000000000001</v>
      </c>
      <c r="AE338" s="865">
        <v>10.17</v>
      </c>
      <c r="AF338" s="875">
        <v>10.14</v>
      </c>
      <c r="AG338" s="44"/>
    </row>
    <row r="339" spans="22:33">
      <c r="V339" s="830" t="s">
        <v>666</v>
      </c>
      <c r="W339" s="830" t="s">
        <v>922</v>
      </c>
      <c r="X339" s="128"/>
      <c r="Y339" s="843" t="s">
        <v>1614</v>
      </c>
      <c r="Z339" s="849">
        <v>3.e-002</v>
      </c>
      <c r="AA339" s="860" t="s">
        <v>1031</v>
      </c>
      <c r="AB339" s="865" t="s">
        <v>614</v>
      </c>
      <c r="AC339" s="872" t="str">
        <f t="shared" si="6"/>
        <v>石川県金沢市</v>
      </c>
      <c r="AD339" s="884">
        <v>10.210000000000001</v>
      </c>
      <c r="AE339" s="865">
        <v>10.17</v>
      </c>
      <c r="AF339" s="875">
        <v>10.14</v>
      </c>
      <c r="AG339" s="44"/>
    </row>
    <row r="340" spans="22:33">
      <c r="V340" s="830" t="s">
        <v>666</v>
      </c>
      <c r="W340" s="830" t="s">
        <v>1802</v>
      </c>
      <c r="X340" s="128"/>
      <c r="Y340" s="843" t="s">
        <v>1614</v>
      </c>
      <c r="Z340" s="849">
        <v>3.e-002</v>
      </c>
      <c r="AA340" s="860" t="s">
        <v>1031</v>
      </c>
      <c r="AB340" s="865" t="s">
        <v>1803</v>
      </c>
      <c r="AC340" s="872" t="str">
        <f t="shared" si="6"/>
        <v>石川県内灘町</v>
      </c>
      <c r="AD340" s="884">
        <v>10.210000000000001</v>
      </c>
      <c r="AE340" s="865">
        <v>10.17</v>
      </c>
      <c r="AF340" s="875">
        <v>10.14</v>
      </c>
      <c r="AG340" s="44"/>
    </row>
    <row r="341" spans="22:33">
      <c r="V341" s="830" t="s">
        <v>666</v>
      </c>
      <c r="W341" s="830" t="s">
        <v>1428</v>
      </c>
      <c r="X341" s="128"/>
      <c r="Y341" s="843" t="s">
        <v>1614</v>
      </c>
      <c r="Z341" s="849">
        <v>3.e-002</v>
      </c>
      <c r="AA341" s="860" t="s">
        <v>679</v>
      </c>
      <c r="AB341" s="865" t="s">
        <v>1804</v>
      </c>
      <c r="AC341" s="872" t="str">
        <f t="shared" si="6"/>
        <v>福井県福井市</v>
      </c>
      <c r="AD341" s="884">
        <v>10.210000000000001</v>
      </c>
      <c r="AE341" s="865">
        <v>10.17</v>
      </c>
      <c r="AF341" s="875">
        <v>10.14</v>
      </c>
      <c r="AG341" s="44"/>
    </row>
    <row r="342" spans="22:33">
      <c r="V342" s="830" t="s">
        <v>666</v>
      </c>
      <c r="W342" s="830" t="s">
        <v>1637</v>
      </c>
      <c r="X342" s="128"/>
      <c r="Y342" s="843" t="s">
        <v>1614</v>
      </c>
      <c r="Z342" s="849">
        <v>3.e-002</v>
      </c>
      <c r="AA342" s="860" t="s">
        <v>1051</v>
      </c>
      <c r="AB342" s="865" t="s">
        <v>1805</v>
      </c>
      <c r="AC342" s="872" t="str">
        <f t="shared" si="6"/>
        <v>山梨県甲府市</v>
      </c>
      <c r="AD342" s="884">
        <v>10.210000000000001</v>
      </c>
      <c r="AE342" s="865">
        <v>10.17</v>
      </c>
      <c r="AF342" s="875">
        <v>10.14</v>
      </c>
      <c r="AG342" s="44"/>
    </row>
    <row r="343" spans="22:33">
      <c r="V343" s="830" t="s">
        <v>666</v>
      </c>
      <c r="W343" s="830" t="s">
        <v>1807</v>
      </c>
      <c r="X343" s="128"/>
      <c r="Y343" s="843" t="s">
        <v>1614</v>
      </c>
      <c r="Z343" s="849">
        <v>3.e-002</v>
      </c>
      <c r="AA343" s="860" t="s">
        <v>1051</v>
      </c>
      <c r="AB343" s="865" t="s">
        <v>1808</v>
      </c>
      <c r="AC343" s="872" t="str">
        <f t="shared" si="6"/>
        <v>山梨県南アルプス市</v>
      </c>
      <c r="AD343" s="884">
        <v>10.210000000000001</v>
      </c>
      <c r="AE343" s="865">
        <v>10.17</v>
      </c>
      <c r="AF343" s="875">
        <v>10.14</v>
      </c>
      <c r="AG343" s="44"/>
    </row>
    <row r="344" spans="22:33">
      <c r="V344" s="830" t="s">
        <v>666</v>
      </c>
      <c r="W344" s="830" t="s">
        <v>1115</v>
      </c>
      <c r="X344" s="128"/>
      <c r="Y344" s="843" t="s">
        <v>1614</v>
      </c>
      <c r="Z344" s="849">
        <v>3.e-002</v>
      </c>
      <c r="AA344" s="860" t="s">
        <v>1051</v>
      </c>
      <c r="AB344" s="865" t="s">
        <v>1809</v>
      </c>
      <c r="AC344" s="872" t="str">
        <f t="shared" si="6"/>
        <v>山梨県南部町</v>
      </c>
      <c r="AD344" s="884">
        <v>10.210000000000001</v>
      </c>
      <c r="AE344" s="865">
        <v>10.17</v>
      </c>
      <c r="AF344" s="875">
        <v>10.14</v>
      </c>
      <c r="AG344" s="44"/>
    </row>
    <row r="345" spans="22:33">
      <c r="V345" s="830" t="s">
        <v>666</v>
      </c>
      <c r="W345" s="830" t="s">
        <v>1266</v>
      </c>
      <c r="X345" s="128"/>
      <c r="Y345" s="843" t="s">
        <v>1614</v>
      </c>
      <c r="Z345" s="849">
        <v>3.e-002</v>
      </c>
      <c r="AA345" s="860" t="s">
        <v>1057</v>
      </c>
      <c r="AB345" s="865" t="s">
        <v>162</v>
      </c>
      <c r="AC345" s="872" t="str">
        <f t="shared" si="6"/>
        <v>長野県長野市</v>
      </c>
      <c r="AD345" s="884">
        <v>10.210000000000001</v>
      </c>
      <c r="AE345" s="865">
        <v>10.17</v>
      </c>
      <c r="AF345" s="875">
        <v>10.14</v>
      </c>
      <c r="AG345" s="44"/>
    </row>
    <row r="346" spans="22:33">
      <c r="V346" s="830" t="s">
        <v>666</v>
      </c>
      <c r="W346" s="830" t="s">
        <v>1334</v>
      </c>
      <c r="X346" s="128"/>
      <c r="Y346" s="843" t="s">
        <v>1614</v>
      </c>
      <c r="Z346" s="849">
        <v>3.e-002</v>
      </c>
      <c r="AA346" s="860" t="s">
        <v>1057</v>
      </c>
      <c r="AB346" s="865" t="s">
        <v>1812</v>
      </c>
      <c r="AC346" s="872" t="str">
        <f t="shared" si="6"/>
        <v>長野県松本市</v>
      </c>
      <c r="AD346" s="884">
        <v>10.210000000000001</v>
      </c>
      <c r="AE346" s="865">
        <v>10.17</v>
      </c>
      <c r="AF346" s="875">
        <v>10.14</v>
      </c>
      <c r="AG346" s="44"/>
    </row>
    <row r="347" spans="22:33">
      <c r="V347" s="830" t="s">
        <v>666</v>
      </c>
      <c r="W347" s="830" t="s">
        <v>1813</v>
      </c>
      <c r="X347" s="128"/>
      <c r="Y347" s="843" t="s">
        <v>1614</v>
      </c>
      <c r="Z347" s="849">
        <v>3.e-002</v>
      </c>
      <c r="AA347" s="860" t="s">
        <v>1057</v>
      </c>
      <c r="AB347" s="865" t="s">
        <v>1814</v>
      </c>
      <c r="AC347" s="872" t="str">
        <f t="shared" si="6"/>
        <v>長野県塩尻市</v>
      </c>
      <c r="AD347" s="884">
        <v>10.210000000000001</v>
      </c>
      <c r="AE347" s="865">
        <v>10.17</v>
      </c>
      <c r="AF347" s="875">
        <v>10.14</v>
      </c>
      <c r="AG347" s="44"/>
    </row>
    <row r="348" spans="22:33">
      <c r="V348" s="830" t="s">
        <v>666</v>
      </c>
      <c r="W348" s="830" t="s">
        <v>1815</v>
      </c>
      <c r="X348" s="128"/>
      <c r="Y348" s="843" t="s">
        <v>1614</v>
      </c>
      <c r="Z348" s="849">
        <v>3.e-002</v>
      </c>
      <c r="AA348" s="860" t="s">
        <v>180</v>
      </c>
      <c r="AB348" s="865" t="s">
        <v>40</v>
      </c>
      <c r="AC348" s="872" t="str">
        <f t="shared" si="6"/>
        <v>岐阜県大垣市</v>
      </c>
      <c r="AD348" s="884">
        <v>10.210000000000001</v>
      </c>
      <c r="AE348" s="865">
        <v>10.17</v>
      </c>
      <c r="AF348" s="875">
        <v>10.14</v>
      </c>
      <c r="AG348" s="44"/>
    </row>
    <row r="349" spans="22:33">
      <c r="V349" s="830" t="s">
        <v>666</v>
      </c>
      <c r="W349" s="830" t="s">
        <v>1816</v>
      </c>
      <c r="X349" s="128"/>
      <c r="Y349" s="843" t="s">
        <v>1614</v>
      </c>
      <c r="Z349" s="849">
        <v>3.e-002</v>
      </c>
      <c r="AA349" s="860" t="s">
        <v>180</v>
      </c>
      <c r="AB349" s="865" t="s">
        <v>1434</v>
      </c>
      <c r="AC349" s="872" t="str">
        <f t="shared" si="6"/>
        <v>岐阜県多治見市</v>
      </c>
      <c r="AD349" s="884">
        <v>10.210000000000001</v>
      </c>
      <c r="AE349" s="865">
        <v>10.17</v>
      </c>
      <c r="AF349" s="875">
        <v>10.14</v>
      </c>
      <c r="AG349" s="44"/>
    </row>
    <row r="350" spans="22:33">
      <c r="V350" s="830" t="s">
        <v>666</v>
      </c>
      <c r="W350" s="830" t="s">
        <v>551</v>
      </c>
      <c r="X350" s="128"/>
      <c r="Y350" s="843" t="s">
        <v>1614</v>
      </c>
      <c r="Z350" s="849">
        <v>3.e-002</v>
      </c>
      <c r="AA350" s="860" t="s">
        <v>180</v>
      </c>
      <c r="AB350" s="865" t="s">
        <v>1817</v>
      </c>
      <c r="AC350" s="872" t="str">
        <f t="shared" si="6"/>
        <v>岐阜県美濃加茂市</v>
      </c>
      <c r="AD350" s="884">
        <v>10.210000000000001</v>
      </c>
      <c r="AE350" s="865">
        <v>10.17</v>
      </c>
      <c r="AF350" s="875">
        <v>10.14</v>
      </c>
      <c r="AG350" s="44"/>
    </row>
    <row r="351" spans="22:33">
      <c r="V351" s="830" t="s">
        <v>666</v>
      </c>
      <c r="W351" s="830" t="s">
        <v>1016</v>
      </c>
      <c r="X351" s="128"/>
      <c r="Y351" s="843" t="s">
        <v>1614</v>
      </c>
      <c r="Z351" s="849">
        <v>3.e-002</v>
      </c>
      <c r="AA351" s="860" t="s">
        <v>180</v>
      </c>
      <c r="AB351" s="865" t="s">
        <v>1818</v>
      </c>
      <c r="AC351" s="872" t="str">
        <f t="shared" si="6"/>
        <v>岐阜県各務原市</v>
      </c>
      <c r="AD351" s="884">
        <v>10.210000000000001</v>
      </c>
      <c r="AE351" s="865">
        <v>10.17</v>
      </c>
      <c r="AF351" s="875">
        <v>10.14</v>
      </c>
      <c r="AG351" s="44"/>
    </row>
    <row r="352" spans="22:33">
      <c r="V352" s="830" t="s">
        <v>666</v>
      </c>
      <c r="W352" s="830" t="s">
        <v>1821</v>
      </c>
      <c r="X352" s="128"/>
      <c r="Y352" s="843" t="s">
        <v>1614</v>
      </c>
      <c r="Z352" s="849">
        <v>3.e-002</v>
      </c>
      <c r="AA352" s="860" t="s">
        <v>180</v>
      </c>
      <c r="AB352" s="865" t="s">
        <v>1822</v>
      </c>
      <c r="AC352" s="872" t="str">
        <f t="shared" si="6"/>
        <v>岐阜県可児市</v>
      </c>
      <c r="AD352" s="884">
        <v>10.210000000000001</v>
      </c>
      <c r="AE352" s="865">
        <v>10.17</v>
      </c>
      <c r="AF352" s="875">
        <v>10.14</v>
      </c>
      <c r="AG352" s="44"/>
    </row>
    <row r="353" spans="22:33">
      <c r="V353" s="830" t="s">
        <v>666</v>
      </c>
      <c r="W353" s="830" t="s">
        <v>1823</v>
      </c>
      <c r="X353" s="128"/>
      <c r="Y353" s="843" t="s">
        <v>1614</v>
      </c>
      <c r="Z353" s="849">
        <v>3.e-002</v>
      </c>
      <c r="AA353" s="860" t="s">
        <v>738</v>
      </c>
      <c r="AB353" s="865" t="s">
        <v>559</v>
      </c>
      <c r="AC353" s="872" t="str">
        <f t="shared" si="6"/>
        <v>静岡県浜松市</v>
      </c>
      <c r="AD353" s="884">
        <v>10.210000000000001</v>
      </c>
      <c r="AE353" s="865">
        <v>10.17</v>
      </c>
      <c r="AF353" s="875">
        <v>10.14</v>
      </c>
      <c r="AG353" s="44"/>
    </row>
    <row r="354" spans="22:33">
      <c r="V354" s="830" t="s">
        <v>666</v>
      </c>
      <c r="W354" s="830" t="s">
        <v>1179</v>
      </c>
      <c r="X354" s="128"/>
      <c r="Y354" s="843" t="s">
        <v>1614</v>
      </c>
      <c r="Z354" s="849">
        <v>3.e-002</v>
      </c>
      <c r="AA354" s="860" t="s">
        <v>738</v>
      </c>
      <c r="AB354" s="865" t="s">
        <v>754</v>
      </c>
      <c r="AC354" s="872" t="str">
        <f t="shared" si="6"/>
        <v>静岡県沼津市</v>
      </c>
      <c r="AD354" s="884">
        <v>10.210000000000001</v>
      </c>
      <c r="AE354" s="865">
        <v>10.17</v>
      </c>
      <c r="AF354" s="875">
        <v>10.14</v>
      </c>
      <c r="AG354" s="44"/>
    </row>
    <row r="355" spans="22:33">
      <c r="V355" s="830" t="s">
        <v>666</v>
      </c>
      <c r="W355" s="830" t="s">
        <v>1824</v>
      </c>
      <c r="X355" s="128"/>
      <c r="Y355" s="843" t="s">
        <v>1614</v>
      </c>
      <c r="Z355" s="849">
        <v>3.e-002</v>
      </c>
      <c r="AA355" s="860" t="s">
        <v>738</v>
      </c>
      <c r="AB355" s="865" t="s">
        <v>279</v>
      </c>
      <c r="AC355" s="872" t="str">
        <f t="shared" si="6"/>
        <v>静岡県三島市</v>
      </c>
      <c r="AD355" s="884">
        <v>10.210000000000001</v>
      </c>
      <c r="AE355" s="865">
        <v>10.17</v>
      </c>
      <c r="AF355" s="875">
        <v>10.14</v>
      </c>
      <c r="AG355" s="44"/>
    </row>
    <row r="356" spans="22:33">
      <c r="V356" s="830" t="s">
        <v>948</v>
      </c>
      <c r="W356" s="830" t="s">
        <v>1029</v>
      </c>
      <c r="X356" s="128"/>
      <c r="Y356" s="843" t="s">
        <v>1614</v>
      </c>
      <c r="Z356" s="849">
        <v>3.e-002</v>
      </c>
      <c r="AA356" s="860" t="s">
        <v>738</v>
      </c>
      <c r="AB356" s="865" t="s">
        <v>1093</v>
      </c>
      <c r="AC356" s="872" t="str">
        <f t="shared" si="6"/>
        <v>静岡県富士宮市</v>
      </c>
      <c r="AD356" s="884">
        <v>10.210000000000001</v>
      </c>
      <c r="AE356" s="865">
        <v>10.17</v>
      </c>
      <c r="AF356" s="875">
        <v>10.14</v>
      </c>
      <c r="AG356" s="44"/>
    </row>
    <row r="357" spans="22:33">
      <c r="V357" s="830" t="s">
        <v>948</v>
      </c>
      <c r="W357" s="830" t="s">
        <v>1826</v>
      </c>
      <c r="X357" s="128"/>
      <c r="Y357" s="843" t="s">
        <v>1614</v>
      </c>
      <c r="Z357" s="849">
        <v>3.e-002</v>
      </c>
      <c r="AA357" s="860" t="s">
        <v>738</v>
      </c>
      <c r="AB357" s="865" t="s">
        <v>1230</v>
      </c>
      <c r="AC357" s="872" t="str">
        <f t="shared" si="6"/>
        <v>静岡県島田市</v>
      </c>
      <c r="AD357" s="884">
        <v>10.210000000000001</v>
      </c>
      <c r="AE357" s="865">
        <v>10.17</v>
      </c>
      <c r="AF357" s="875">
        <v>10.14</v>
      </c>
      <c r="AG357" s="44"/>
    </row>
    <row r="358" spans="22:33">
      <c r="V358" s="830" t="s">
        <v>948</v>
      </c>
      <c r="W358" s="830" t="s">
        <v>1828</v>
      </c>
      <c r="X358" s="128"/>
      <c r="Y358" s="843" t="s">
        <v>1614</v>
      </c>
      <c r="Z358" s="849">
        <v>3.e-002</v>
      </c>
      <c r="AA358" s="860" t="s">
        <v>738</v>
      </c>
      <c r="AB358" s="865" t="s">
        <v>913</v>
      </c>
      <c r="AC358" s="872" t="str">
        <f t="shared" si="6"/>
        <v>静岡県富士市</v>
      </c>
      <c r="AD358" s="884">
        <v>10.210000000000001</v>
      </c>
      <c r="AE358" s="865">
        <v>10.17</v>
      </c>
      <c r="AF358" s="875">
        <v>10.14</v>
      </c>
      <c r="AG358" s="44"/>
    </row>
    <row r="359" spans="22:33">
      <c r="V359" s="830" t="s">
        <v>948</v>
      </c>
      <c r="W359" s="830" t="s">
        <v>1829</v>
      </c>
      <c r="X359" s="128"/>
      <c r="Y359" s="843" t="s">
        <v>1614</v>
      </c>
      <c r="Z359" s="849">
        <v>3.e-002</v>
      </c>
      <c r="AA359" s="860" t="s">
        <v>738</v>
      </c>
      <c r="AB359" s="865" t="s">
        <v>1830</v>
      </c>
      <c r="AC359" s="872" t="str">
        <f t="shared" si="6"/>
        <v>静岡県磐田市</v>
      </c>
      <c r="AD359" s="884">
        <v>10.210000000000001</v>
      </c>
      <c r="AE359" s="865">
        <v>10.17</v>
      </c>
      <c r="AF359" s="875">
        <v>10.14</v>
      </c>
      <c r="AG359" s="44"/>
    </row>
    <row r="360" spans="22:33">
      <c r="V360" s="830" t="s">
        <v>948</v>
      </c>
      <c r="W360" s="830" t="s">
        <v>1831</v>
      </c>
      <c r="X360" s="128"/>
      <c r="Y360" s="843" t="s">
        <v>1614</v>
      </c>
      <c r="Z360" s="849">
        <v>3.e-002</v>
      </c>
      <c r="AA360" s="860" t="s">
        <v>738</v>
      </c>
      <c r="AB360" s="865" t="s">
        <v>244</v>
      </c>
      <c r="AC360" s="872" t="str">
        <f t="shared" si="6"/>
        <v>静岡県焼津市</v>
      </c>
      <c r="AD360" s="884">
        <v>10.210000000000001</v>
      </c>
      <c r="AE360" s="865">
        <v>10.17</v>
      </c>
      <c r="AF360" s="875">
        <v>10.14</v>
      </c>
      <c r="AG360" s="44"/>
    </row>
    <row r="361" spans="22:33">
      <c r="V361" s="830" t="s">
        <v>948</v>
      </c>
      <c r="W361" s="830" t="s">
        <v>1204</v>
      </c>
      <c r="X361" s="128"/>
      <c r="Y361" s="843" t="s">
        <v>1614</v>
      </c>
      <c r="Z361" s="849">
        <v>3.e-002</v>
      </c>
      <c r="AA361" s="860" t="s">
        <v>738</v>
      </c>
      <c r="AB361" s="865" t="s">
        <v>1338</v>
      </c>
      <c r="AC361" s="872" t="str">
        <f t="shared" si="6"/>
        <v>静岡県掛川市</v>
      </c>
      <c r="AD361" s="884">
        <v>10.210000000000001</v>
      </c>
      <c r="AE361" s="865">
        <v>10.17</v>
      </c>
      <c r="AF361" s="875">
        <v>10.14</v>
      </c>
      <c r="AG361" s="44"/>
    </row>
    <row r="362" spans="22:33">
      <c r="V362" s="830" t="s">
        <v>948</v>
      </c>
      <c r="W362" s="830" t="s">
        <v>1833</v>
      </c>
      <c r="X362" s="128"/>
      <c r="Y362" s="843" t="s">
        <v>1614</v>
      </c>
      <c r="Z362" s="849">
        <v>3.e-002</v>
      </c>
      <c r="AA362" s="860" t="s">
        <v>738</v>
      </c>
      <c r="AB362" s="865" t="s">
        <v>1661</v>
      </c>
      <c r="AC362" s="872" t="str">
        <f t="shared" si="6"/>
        <v>静岡県藤枝市</v>
      </c>
      <c r="AD362" s="884">
        <v>10.210000000000001</v>
      </c>
      <c r="AE362" s="865">
        <v>10.17</v>
      </c>
      <c r="AF362" s="875">
        <v>10.14</v>
      </c>
      <c r="AG362" s="44"/>
    </row>
    <row r="363" spans="22:33">
      <c r="V363" s="830" t="s">
        <v>948</v>
      </c>
      <c r="W363" s="830" t="s">
        <v>1835</v>
      </c>
      <c r="X363" s="128"/>
      <c r="Y363" s="843" t="s">
        <v>1614</v>
      </c>
      <c r="Z363" s="849">
        <v>3.e-002</v>
      </c>
      <c r="AA363" s="860" t="s">
        <v>738</v>
      </c>
      <c r="AB363" s="865" t="s">
        <v>208</v>
      </c>
      <c r="AC363" s="872" t="str">
        <f t="shared" si="6"/>
        <v>静岡県御殿場市</v>
      </c>
      <c r="AD363" s="884">
        <v>10.210000000000001</v>
      </c>
      <c r="AE363" s="865">
        <v>10.17</v>
      </c>
      <c r="AF363" s="875">
        <v>10.14</v>
      </c>
      <c r="AG363" s="44"/>
    </row>
    <row r="364" spans="22:33">
      <c r="V364" s="830" t="s">
        <v>948</v>
      </c>
      <c r="W364" s="830" t="s">
        <v>1838</v>
      </c>
      <c r="X364" s="128"/>
      <c r="Y364" s="843" t="s">
        <v>1614</v>
      </c>
      <c r="Z364" s="849">
        <v>3.e-002</v>
      </c>
      <c r="AA364" s="860" t="s">
        <v>738</v>
      </c>
      <c r="AB364" s="865" t="s">
        <v>1840</v>
      </c>
      <c r="AC364" s="872" t="str">
        <f t="shared" si="6"/>
        <v>静岡県袋井市</v>
      </c>
      <c r="AD364" s="884">
        <v>10.210000000000001</v>
      </c>
      <c r="AE364" s="865">
        <v>10.17</v>
      </c>
      <c r="AF364" s="875">
        <v>10.14</v>
      </c>
      <c r="AG364" s="44"/>
    </row>
    <row r="365" spans="22:33">
      <c r="V365" s="830" t="s">
        <v>948</v>
      </c>
      <c r="W365" s="830" t="s">
        <v>411</v>
      </c>
      <c r="X365" s="128"/>
      <c r="Y365" s="843" t="s">
        <v>1614</v>
      </c>
      <c r="Z365" s="849">
        <v>3.e-002</v>
      </c>
      <c r="AA365" s="860" t="s">
        <v>738</v>
      </c>
      <c r="AB365" s="865" t="s">
        <v>1137</v>
      </c>
      <c r="AC365" s="872" t="str">
        <f t="shared" si="6"/>
        <v>静岡県裾野市</v>
      </c>
      <c r="AD365" s="884">
        <v>10.210000000000001</v>
      </c>
      <c r="AE365" s="865">
        <v>10.17</v>
      </c>
      <c r="AF365" s="875">
        <v>10.14</v>
      </c>
      <c r="AG365" s="44"/>
    </row>
    <row r="366" spans="22:33">
      <c r="V366" s="830" t="s">
        <v>948</v>
      </c>
      <c r="W366" s="830" t="s">
        <v>1090</v>
      </c>
      <c r="X366" s="128"/>
      <c r="Y366" s="843" t="s">
        <v>1614</v>
      </c>
      <c r="Z366" s="849">
        <v>3.e-002</v>
      </c>
      <c r="AA366" s="860" t="s">
        <v>738</v>
      </c>
      <c r="AB366" s="865" t="s">
        <v>1842</v>
      </c>
      <c r="AC366" s="872" t="str">
        <f t="shared" si="6"/>
        <v>静岡県函南町</v>
      </c>
      <c r="AD366" s="884">
        <v>10.210000000000001</v>
      </c>
      <c r="AE366" s="865">
        <v>10.17</v>
      </c>
      <c r="AF366" s="875">
        <v>10.14</v>
      </c>
      <c r="AG366" s="44"/>
    </row>
    <row r="367" spans="22:33">
      <c r="V367" s="830" t="s">
        <v>948</v>
      </c>
      <c r="W367" s="830" t="s">
        <v>1193</v>
      </c>
      <c r="X367" s="128"/>
      <c r="Y367" s="843" t="s">
        <v>1614</v>
      </c>
      <c r="Z367" s="849">
        <v>3.e-002</v>
      </c>
      <c r="AA367" s="860" t="s">
        <v>738</v>
      </c>
      <c r="AB367" s="865" t="s">
        <v>700</v>
      </c>
      <c r="AC367" s="872" t="str">
        <f t="shared" si="6"/>
        <v>静岡県清水町</v>
      </c>
      <c r="AD367" s="884">
        <v>10.210000000000001</v>
      </c>
      <c r="AE367" s="865">
        <v>10.17</v>
      </c>
      <c r="AF367" s="875">
        <v>10.14</v>
      </c>
      <c r="AG367" s="44"/>
    </row>
    <row r="368" spans="22:33">
      <c r="V368" s="830" t="s">
        <v>948</v>
      </c>
      <c r="W368" s="830" t="s">
        <v>1843</v>
      </c>
      <c r="X368" s="128"/>
      <c r="Y368" s="843" t="s">
        <v>1614</v>
      </c>
      <c r="Z368" s="849">
        <v>3.e-002</v>
      </c>
      <c r="AA368" s="860" t="s">
        <v>738</v>
      </c>
      <c r="AB368" s="865" t="s">
        <v>1679</v>
      </c>
      <c r="AC368" s="872" t="str">
        <f t="shared" si="6"/>
        <v>静岡県長泉町</v>
      </c>
      <c r="AD368" s="884">
        <v>10.210000000000001</v>
      </c>
      <c r="AE368" s="865">
        <v>10.17</v>
      </c>
      <c r="AF368" s="875">
        <v>10.14</v>
      </c>
      <c r="AG368" s="44"/>
    </row>
    <row r="369" spans="22:33">
      <c r="V369" s="830" t="s">
        <v>948</v>
      </c>
      <c r="W369" s="830" t="s">
        <v>1656</v>
      </c>
      <c r="X369" s="128"/>
      <c r="Y369" s="843" t="s">
        <v>1614</v>
      </c>
      <c r="Z369" s="849">
        <v>3.e-002</v>
      </c>
      <c r="AA369" s="860" t="s">
        <v>738</v>
      </c>
      <c r="AB369" s="865" t="s">
        <v>1844</v>
      </c>
      <c r="AC369" s="872" t="str">
        <f t="shared" si="6"/>
        <v>静岡県小山町</v>
      </c>
      <c r="AD369" s="884">
        <v>10.210000000000001</v>
      </c>
      <c r="AE369" s="865">
        <v>10.17</v>
      </c>
      <c r="AF369" s="875">
        <v>10.14</v>
      </c>
      <c r="AG369" s="44"/>
    </row>
    <row r="370" spans="22:33">
      <c r="V370" s="830" t="s">
        <v>948</v>
      </c>
      <c r="W370" s="830" t="s">
        <v>1845</v>
      </c>
      <c r="X370" s="128"/>
      <c r="Y370" s="843" t="s">
        <v>1614</v>
      </c>
      <c r="Z370" s="849">
        <v>3.e-002</v>
      </c>
      <c r="AA370" s="860" t="s">
        <v>738</v>
      </c>
      <c r="AB370" s="865" t="s">
        <v>506</v>
      </c>
      <c r="AC370" s="872" t="str">
        <f t="shared" si="6"/>
        <v>静岡県川根本町</v>
      </c>
      <c r="AD370" s="884">
        <v>10.210000000000001</v>
      </c>
      <c r="AE370" s="865">
        <v>10.17</v>
      </c>
      <c r="AF370" s="875">
        <v>10.14</v>
      </c>
      <c r="AG370" s="44"/>
    </row>
    <row r="371" spans="22:33">
      <c r="V371" s="830" t="s">
        <v>948</v>
      </c>
      <c r="W371" s="830" t="s">
        <v>618</v>
      </c>
      <c r="X371" s="128"/>
      <c r="Y371" s="843" t="s">
        <v>1614</v>
      </c>
      <c r="Z371" s="849">
        <v>3.e-002</v>
      </c>
      <c r="AA371" s="860" t="s">
        <v>738</v>
      </c>
      <c r="AB371" s="865" t="s">
        <v>1304</v>
      </c>
      <c r="AC371" s="872" t="str">
        <f t="shared" si="6"/>
        <v>静岡県森町</v>
      </c>
      <c r="AD371" s="884">
        <v>10.210000000000001</v>
      </c>
      <c r="AE371" s="865">
        <v>10.17</v>
      </c>
      <c r="AF371" s="875">
        <v>10.14</v>
      </c>
      <c r="AG371" s="44"/>
    </row>
    <row r="372" spans="22:33">
      <c r="V372" s="830" t="s">
        <v>948</v>
      </c>
      <c r="W372" s="830" t="s">
        <v>1847</v>
      </c>
      <c r="X372" s="128"/>
      <c r="Y372" s="843" t="s">
        <v>1614</v>
      </c>
      <c r="Z372" s="849">
        <v>3.e-002</v>
      </c>
      <c r="AA372" s="860" t="s">
        <v>1098</v>
      </c>
      <c r="AB372" s="865" t="s">
        <v>825</v>
      </c>
      <c r="AC372" s="872" t="str">
        <f t="shared" si="6"/>
        <v>愛知県豊橋市</v>
      </c>
      <c r="AD372" s="884">
        <v>10.210000000000001</v>
      </c>
      <c r="AE372" s="865">
        <v>10.17</v>
      </c>
      <c r="AF372" s="875">
        <v>10.14</v>
      </c>
      <c r="AG372" s="44"/>
    </row>
    <row r="373" spans="22:33">
      <c r="V373" s="830" t="s">
        <v>948</v>
      </c>
      <c r="W373" s="830" t="s">
        <v>1438</v>
      </c>
      <c r="X373" s="128"/>
      <c r="Y373" s="843" t="s">
        <v>1614</v>
      </c>
      <c r="Z373" s="849">
        <v>3.e-002</v>
      </c>
      <c r="AA373" s="860" t="s">
        <v>1098</v>
      </c>
      <c r="AB373" s="865" t="s">
        <v>1697</v>
      </c>
      <c r="AC373" s="872" t="str">
        <f t="shared" si="6"/>
        <v>愛知県半田市</v>
      </c>
      <c r="AD373" s="884">
        <v>10.210000000000001</v>
      </c>
      <c r="AE373" s="865">
        <v>10.17</v>
      </c>
      <c r="AF373" s="875">
        <v>10.14</v>
      </c>
      <c r="AG373" s="44"/>
    </row>
    <row r="374" spans="22:33">
      <c r="V374" s="830" t="s">
        <v>948</v>
      </c>
      <c r="W374" s="830" t="s">
        <v>1849</v>
      </c>
      <c r="X374" s="128"/>
      <c r="Y374" s="843" t="s">
        <v>1614</v>
      </c>
      <c r="Z374" s="849">
        <v>3.e-002</v>
      </c>
      <c r="AA374" s="860" t="s">
        <v>1098</v>
      </c>
      <c r="AB374" s="865" t="s">
        <v>1593</v>
      </c>
      <c r="AC374" s="872" t="str">
        <f t="shared" si="6"/>
        <v>愛知県豊川市</v>
      </c>
      <c r="AD374" s="884">
        <v>10.210000000000001</v>
      </c>
      <c r="AE374" s="865">
        <v>10.17</v>
      </c>
      <c r="AF374" s="875">
        <v>10.14</v>
      </c>
      <c r="AG374" s="44"/>
    </row>
    <row r="375" spans="22:33">
      <c r="V375" s="830" t="s">
        <v>948</v>
      </c>
      <c r="W375" s="830" t="s">
        <v>815</v>
      </c>
      <c r="X375" s="128"/>
      <c r="Y375" s="843" t="s">
        <v>1614</v>
      </c>
      <c r="Z375" s="849">
        <v>3.e-002</v>
      </c>
      <c r="AA375" s="860" t="s">
        <v>1098</v>
      </c>
      <c r="AB375" s="865" t="s">
        <v>1851</v>
      </c>
      <c r="AC375" s="872" t="str">
        <f t="shared" si="6"/>
        <v>愛知県蒲郡市</v>
      </c>
      <c r="AD375" s="884">
        <v>10.210000000000001</v>
      </c>
      <c r="AE375" s="865">
        <v>10.17</v>
      </c>
      <c r="AF375" s="875">
        <v>10.14</v>
      </c>
      <c r="AG375" s="44"/>
    </row>
    <row r="376" spans="22:33">
      <c r="V376" s="830" t="s">
        <v>948</v>
      </c>
      <c r="W376" s="830" t="s">
        <v>1465</v>
      </c>
      <c r="X376" s="128"/>
      <c r="Y376" s="843" t="s">
        <v>1614</v>
      </c>
      <c r="Z376" s="849">
        <v>3.e-002</v>
      </c>
      <c r="AA376" s="860" t="s">
        <v>1098</v>
      </c>
      <c r="AB376" s="865" t="s">
        <v>883</v>
      </c>
      <c r="AC376" s="872" t="str">
        <f t="shared" si="6"/>
        <v>愛知県常滑市</v>
      </c>
      <c r="AD376" s="884">
        <v>10.210000000000001</v>
      </c>
      <c r="AE376" s="865">
        <v>10.17</v>
      </c>
      <c r="AF376" s="875">
        <v>10.14</v>
      </c>
      <c r="AG376" s="44"/>
    </row>
    <row r="377" spans="22:33">
      <c r="V377" s="830" t="s">
        <v>948</v>
      </c>
      <c r="W377" s="830" t="s">
        <v>1852</v>
      </c>
      <c r="X377" s="128"/>
      <c r="Y377" s="843" t="s">
        <v>1614</v>
      </c>
      <c r="Z377" s="849">
        <v>3.e-002</v>
      </c>
      <c r="AA377" s="860" t="s">
        <v>1098</v>
      </c>
      <c r="AB377" s="865" t="s">
        <v>212</v>
      </c>
      <c r="AC377" s="872" t="str">
        <f t="shared" si="6"/>
        <v>愛知県小牧市</v>
      </c>
      <c r="AD377" s="884">
        <v>10.210000000000001</v>
      </c>
      <c r="AE377" s="865">
        <v>10.17</v>
      </c>
      <c r="AF377" s="875">
        <v>10.14</v>
      </c>
      <c r="AG377" s="44"/>
    </row>
    <row r="378" spans="22:33">
      <c r="V378" s="830" t="s">
        <v>948</v>
      </c>
      <c r="W378" s="830" t="s">
        <v>171</v>
      </c>
      <c r="X378" s="128"/>
      <c r="Y378" s="843" t="s">
        <v>1614</v>
      </c>
      <c r="Z378" s="849">
        <v>3.e-002</v>
      </c>
      <c r="AA378" s="860" t="s">
        <v>1098</v>
      </c>
      <c r="AB378" s="865" t="s">
        <v>1853</v>
      </c>
      <c r="AC378" s="872" t="str">
        <f t="shared" si="6"/>
        <v>愛知県新城市</v>
      </c>
      <c r="AD378" s="884">
        <v>10.210000000000001</v>
      </c>
      <c r="AE378" s="865">
        <v>10.17</v>
      </c>
      <c r="AF378" s="875">
        <v>10.14</v>
      </c>
      <c r="AG378" s="44"/>
    </row>
    <row r="379" spans="22:33">
      <c r="V379" s="830" t="s">
        <v>948</v>
      </c>
      <c r="W379" s="830" t="s">
        <v>967</v>
      </c>
      <c r="X379" s="128"/>
      <c r="Y379" s="843" t="s">
        <v>1614</v>
      </c>
      <c r="Z379" s="849">
        <v>3.e-002</v>
      </c>
      <c r="AA379" s="860" t="s">
        <v>1098</v>
      </c>
      <c r="AB379" s="865" t="s">
        <v>1854</v>
      </c>
      <c r="AC379" s="872" t="str">
        <f t="shared" si="6"/>
        <v>愛知県東海市</v>
      </c>
      <c r="AD379" s="884">
        <v>10.210000000000001</v>
      </c>
      <c r="AE379" s="865">
        <v>10.17</v>
      </c>
      <c r="AF379" s="875">
        <v>10.14</v>
      </c>
      <c r="AG379" s="44"/>
    </row>
    <row r="380" spans="22:33">
      <c r="V380" s="830" t="s">
        <v>948</v>
      </c>
      <c r="W380" s="830" t="s">
        <v>1855</v>
      </c>
      <c r="X380" s="128"/>
      <c r="Y380" s="843" t="s">
        <v>1614</v>
      </c>
      <c r="Z380" s="849">
        <v>3.e-002</v>
      </c>
      <c r="AA380" s="860" t="s">
        <v>1098</v>
      </c>
      <c r="AB380" s="865" t="s">
        <v>510</v>
      </c>
      <c r="AC380" s="872" t="str">
        <f t="shared" si="6"/>
        <v>愛知県大府市</v>
      </c>
      <c r="AD380" s="884">
        <v>10.210000000000001</v>
      </c>
      <c r="AE380" s="865">
        <v>10.17</v>
      </c>
      <c r="AF380" s="875">
        <v>10.14</v>
      </c>
      <c r="AG380" s="44"/>
    </row>
    <row r="381" spans="22:33">
      <c r="V381" s="830" t="s">
        <v>948</v>
      </c>
      <c r="W381" s="830" t="s">
        <v>1001</v>
      </c>
      <c r="X381" s="128"/>
      <c r="Y381" s="843" t="s">
        <v>1614</v>
      </c>
      <c r="Z381" s="849">
        <v>3.e-002</v>
      </c>
      <c r="AA381" s="860" t="s">
        <v>1098</v>
      </c>
      <c r="AB381" s="865" t="s">
        <v>1455</v>
      </c>
      <c r="AC381" s="872" t="str">
        <f t="shared" si="6"/>
        <v>愛知県知多市</v>
      </c>
      <c r="AD381" s="884">
        <v>10.210000000000001</v>
      </c>
      <c r="AE381" s="865">
        <v>10.17</v>
      </c>
      <c r="AF381" s="875">
        <v>10.14</v>
      </c>
      <c r="AG381" s="44"/>
    </row>
    <row r="382" spans="22:33">
      <c r="V382" s="830" t="s">
        <v>948</v>
      </c>
      <c r="W382" s="830" t="s">
        <v>1857</v>
      </c>
      <c r="X382" s="128"/>
      <c r="Y382" s="843" t="s">
        <v>1614</v>
      </c>
      <c r="Z382" s="849">
        <v>3.e-002</v>
      </c>
      <c r="AA382" s="860" t="s">
        <v>1098</v>
      </c>
      <c r="AB382" s="865" t="s">
        <v>1858</v>
      </c>
      <c r="AC382" s="872" t="str">
        <f t="shared" si="6"/>
        <v>愛知県高浜市</v>
      </c>
      <c r="AD382" s="884">
        <v>10.210000000000001</v>
      </c>
      <c r="AE382" s="865">
        <v>10.17</v>
      </c>
      <c r="AF382" s="875">
        <v>10.14</v>
      </c>
      <c r="AG382" s="44"/>
    </row>
    <row r="383" spans="22:33">
      <c r="V383" s="830" t="s">
        <v>948</v>
      </c>
      <c r="W383" s="830" t="s">
        <v>1860</v>
      </c>
      <c r="X383" s="128"/>
      <c r="Y383" s="843" t="s">
        <v>1614</v>
      </c>
      <c r="Z383" s="849">
        <v>3.e-002</v>
      </c>
      <c r="AA383" s="860" t="s">
        <v>1098</v>
      </c>
      <c r="AB383" s="865" t="s">
        <v>1862</v>
      </c>
      <c r="AC383" s="872" t="str">
        <f t="shared" si="6"/>
        <v>愛知県田原市</v>
      </c>
      <c r="AD383" s="884">
        <v>10.210000000000001</v>
      </c>
      <c r="AE383" s="865">
        <v>10.17</v>
      </c>
      <c r="AF383" s="875">
        <v>10.14</v>
      </c>
      <c r="AG383" s="44"/>
    </row>
    <row r="384" spans="22:33">
      <c r="V384" s="830" t="s">
        <v>948</v>
      </c>
      <c r="W384" s="830" t="s">
        <v>748</v>
      </c>
      <c r="X384" s="128"/>
      <c r="Y384" s="843" t="s">
        <v>1614</v>
      </c>
      <c r="Z384" s="849">
        <v>3.e-002</v>
      </c>
      <c r="AA384" s="860" t="s">
        <v>1098</v>
      </c>
      <c r="AB384" s="865" t="s">
        <v>1863</v>
      </c>
      <c r="AC384" s="872" t="str">
        <f t="shared" si="6"/>
        <v>愛知県大口町</v>
      </c>
      <c r="AD384" s="884">
        <v>10.210000000000001</v>
      </c>
      <c r="AE384" s="865">
        <v>10.17</v>
      </c>
      <c r="AF384" s="875">
        <v>10.14</v>
      </c>
      <c r="AG384" s="44"/>
    </row>
    <row r="385" spans="22:33">
      <c r="V385" s="830" t="s">
        <v>948</v>
      </c>
      <c r="W385" s="830" t="s">
        <v>1285</v>
      </c>
      <c r="X385" s="128"/>
      <c r="Y385" s="843" t="s">
        <v>1614</v>
      </c>
      <c r="Z385" s="849">
        <v>3.e-002</v>
      </c>
      <c r="AA385" s="860" t="s">
        <v>1098</v>
      </c>
      <c r="AB385" s="865" t="s">
        <v>1655</v>
      </c>
      <c r="AC385" s="872" t="str">
        <f t="shared" si="6"/>
        <v>愛知県扶桑町</v>
      </c>
      <c r="AD385" s="884">
        <v>10.210000000000001</v>
      </c>
      <c r="AE385" s="865">
        <v>10.17</v>
      </c>
      <c r="AF385" s="875">
        <v>10.14</v>
      </c>
      <c r="AG385" s="44"/>
    </row>
    <row r="386" spans="22:33">
      <c r="V386" s="830" t="s">
        <v>948</v>
      </c>
      <c r="W386" s="830" t="s">
        <v>1864</v>
      </c>
      <c r="X386" s="128"/>
      <c r="Y386" s="843" t="s">
        <v>1614</v>
      </c>
      <c r="Z386" s="849">
        <v>3.e-002</v>
      </c>
      <c r="AA386" s="860" t="s">
        <v>1098</v>
      </c>
      <c r="AB386" s="865" t="s">
        <v>1865</v>
      </c>
      <c r="AC386" s="872" t="str">
        <f t="shared" si="6"/>
        <v>愛知県阿久比町</v>
      </c>
      <c r="AD386" s="884">
        <v>10.210000000000001</v>
      </c>
      <c r="AE386" s="865">
        <v>10.17</v>
      </c>
      <c r="AF386" s="875">
        <v>10.14</v>
      </c>
      <c r="AG386" s="44"/>
    </row>
    <row r="387" spans="22:33">
      <c r="V387" s="830" t="s">
        <v>948</v>
      </c>
      <c r="W387" s="830" t="s">
        <v>1428</v>
      </c>
      <c r="X387" s="128"/>
      <c r="Y387" s="843" t="s">
        <v>1614</v>
      </c>
      <c r="Z387" s="849">
        <v>3.e-002</v>
      </c>
      <c r="AA387" s="860" t="s">
        <v>1098</v>
      </c>
      <c r="AB387" s="865" t="s">
        <v>1867</v>
      </c>
      <c r="AC387" s="872" t="str">
        <f t="shared" ref="AC387:AC450" si="7">AA387&amp;AB387</f>
        <v>愛知県東浦町</v>
      </c>
      <c r="AD387" s="884">
        <v>10.210000000000001</v>
      </c>
      <c r="AE387" s="865">
        <v>10.17</v>
      </c>
      <c r="AF387" s="875">
        <v>10.14</v>
      </c>
      <c r="AG387" s="44"/>
    </row>
    <row r="388" spans="22:33">
      <c r="V388" s="830" t="s">
        <v>948</v>
      </c>
      <c r="W388" s="830" t="s">
        <v>1868</v>
      </c>
      <c r="X388" s="128"/>
      <c r="Y388" s="843" t="s">
        <v>1614</v>
      </c>
      <c r="Z388" s="849">
        <v>3.e-002</v>
      </c>
      <c r="AA388" s="860" t="s">
        <v>1098</v>
      </c>
      <c r="AB388" s="865" t="s">
        <v>1499</v>
      </c>
      <c r="AC388" s="872" t="str">
        <f t="shared" si="7"/>
        <v>愛知県武豊町</v>
      </c>
      <c r="AD388" s="884">
        <v>10.210000000000001</v>
      </c>
      <c r="AE388" s="865">
        <v>10.17</v>
      </c>
      <c r="AF388" s="875">
        <v>10.14</v>
      </c>
      <c r="AG388" s="44"/>
    </row>
    <row r="389" spans="22:33">
      <c r="V389" s="830" t="s">
        <v>948</v>
      </c>
      <c r="W389" s="830" t="s">
        <v>1870</v>
      </c>
      <c r="X389" s="128"/>
      <c r="Y389" s="843" t="s">
        <v>1614</v>
      </c>
      <c r="Z389" s="849">
        <v>3.e-002</v>
      </c>
      <c r="AA389" s="860" t="s">
        <v>1098</v>
      </c>
      <c r="AB389" s="865" t="s">
        <v>1872</v>
      </c>
      <c r="AC389" s="872" t="str">
        <f t="shared" si="7"/>
        <v>愛知県幸田町</v>
      </c>
      <c r="AD389" s="884">
        <v>10.210000000000001</v>
      </c>
      <c r="AE389" s="865">
        <v>10.17</v>
      </c>
      <c r="AF389" s="875">
        <v>10.14</v>
      </c>
      <c r="AG389" s="44"/>
    </row>
    <row r="390" spans="22:33">
      <c r="V390" s="830" t="s">
        <v>948</v>
      </c>
      <c r="W390" s="830" t="s">
        <v>1873</v>
      </c>
      <c r="X390" s="128"/>
      <c r="Y390" s="843" t="s">
        <v>1614</v>
      </c>
      <c r="Z390" s="849">
        <v>3.e-002</v>
      </c>
      <c r="AA390" s="860" t="s">
        <v>1098</v>
      </c>
      <c r="AB390" s="865" t="s">
        <v>1874</v>
      </c>
      <c r="AC390" s="872" t="str">
        <f t="shared" si="7"/>
        <v>愛知県設楽町</v>
      </c>
      <c r="AD390" s="884">
        <v>10.210000000000001</v>
      </c>
      <c r="AE390" s="865">
        <v>10.17</v>
      </c>
      <c r="AF390" s="875">
        <v>10.14</v>
      </c>
      <c r="AG390" s="44"/>
    </row>
    <row r="391" spans="22:33">
      <c r="V391" s="830" t="s">
        <v>948</v>
      </c>
      <c r="W391" s="830" t="s">
        <v>1876</v>
      </c>
      <c r="X391" s="128"/>
      <c r="Y391" s="843" t="s">
        <v>1614</v>
      </c>
      <c r="Z391" s="849">
        <v>3.e-002</v>
      </c>
      <c r="AA391" s="860" t="s">
        <v>1098</v>
      </c>
      <c r="AB391" s="865" t="s">
        <v>609</v>
      </c>
      <c r="AC391" s="872" t="str">
        <f t="shared" si="7"/>
        <v>愛知県東栄町</v>
      </c>
      <c r="AD391" s="884">
        <v>10.210000000000001</v>
      </c>
      <c r="AE391" s="865">
        <v>10.17</v>
      </c>
      <c r="AF391" s="875">
        <v>10.14</v>
      </c>
      <c r="AG391" s="44"/>
    </row>
    <row r="392" spans="22:33">
      <c r="V392" s="830" t="s">
        <v>948</v>
      </c>
      <c r="W392" s="830" t="s">
        <v>1878</v>
      </c>
      <c r="X392" s="128"/>
      <c r="Y392" s="843" t="s">
        <v>1614</v>
      </c>
      <c r="Z392" s="849">
        <v>3.e-002</v>
      </c>
      <c r="AA392" s="860" t="s">
        <v>1098</v>
      </c>
      <c r="AB392" s="865" t="s">
        <v>309</v>
      </c>
      <c r="AC392" s="872" t="str">
        <f t="shared" si="7"/>
        <v>愛知県豊根村</v>
      </c>
      <c r="AD392" s="884">
        <v>10.210000000000001</v>
      </c>
      <c r="AE392" s="865">
        <v>10.17</v>
      </c>
      <c r="AF392" s="875">
        <v>10.14</v>
      </c>
      <c r="AG392" s="44"/>
    </row>
    <row r="393" spans="22:33">
      <c r="V393" s="830" t="s">
        <v>948</v>
      </c>
      <c r="W393" s="830" t="s">
        <v>1880</v>
      </c>
      <c r="X393" s="128"/>
      <c r="Y393" s="843" t="s">
        <v>1614</v>
      </c>
      <c r="Z393" s="849">
        <v>3.e-002</v>
      </c>
      <c r="AA393" s="860" t="s">
        <v>1106</v>
      </c>
      <c r="AB393" s="865" t="s">
        <v>1881</v>
      </c>
      <c r="AC393" s="872" t="str">
        <f t="shared" si="7"/>
        <v>三重県名張市</v>
      </c>
      <c r="AD393" s="884">
        <v>10.210000000000001</v>
      </c>
      <c r="AE393" s="865">
        <v>10.17</v>
      </c>
      <c r="AF393" s="875">
        <v>10.14</v>
      </c>
      <c r="AG393" s="44"/>
    </row>
    <row r="394" spans="22:33">
      <c r="V394" s="830" t="s">
        <v>948</v>
      </c>
      <c r="W394" s="830" t="s">
        <v>152</v>
      </c>
      <c r="X394" s="128"/>
      <c r="Y394" s="843" t="s">
        <v>1614</v>
      </c>
      <c r="Z394" s="849">
        <v>3.e-002</v>
      </c>
      <c r="AA394" s="860" t="s">
        <v>1106</v>
      </c>
      <c r="AB394" s="865" t="s">
        <v>1424</v>
      </c>
      <c r="AC394" s="872" t="str">
        <f t="shared" si="7"/>
        <v>三重県いなべ市</v>
      </c>
      <c r="AD394" s="884">
        <v>10.210000000000001</v>
      </c>
      <c r="AE394" s="865">
        <v>10.17</v>
      </c>
      <c r="AF394" s="875">
        <v>10.14</v>
      </c>
      <c r="AG394" s="44"/>
    </row>
    <row r="395" spans="22:33">
      <c r="V395" s="830" t="s">
        <v>948</v>
      </c>
      <c r="W395" s="830" t="s">
        <v>483</v>
      </c>
      <c r="X395" s="128"/>
      <c r="Y395" s="843" t="s">
        <v>1614</v>
      </c>
      <c r="Z395" s="849">
        <v>3.e-002</v>
      </c>
      <c r="AA395" s="860" t="s">
        <v>1106</v>
      </c>
      <c r="AB395" s="865" t="s">
        <v>1303</v>
      </c>
      <c r="AC395" s="872" t="str">
        <f t="shared" si="7"/>
        <v>三重県伊賀市</v>
      </c>
      <c r="AD395" s="884">
        <v>10.210000000000001</v>
      </c>
      <c r="AE395" s="865">
        <v>10.17</v>
      </c>
      <c r="AF395" s="875">
        <v>10.14</v>
      </c>
      <c r="AG395" s="44"/>
    </row>
    <row r="396" spans="22:33">
      <c r="V396" s="830" t="s">
        <v>948</v>
      </c>
      <c r="W396" s="830" t="s">
        <v>1882</v>
      </c>
      <c r="X396" s="128"/>
      <c r="Y396" s="843" t="s">
        <v>1614</v>
      </c>
      <c r="Z396" s="849">
        <v>3.e-002</v>
      </c>
      <c r="AA396" s="860" t="s">
        <v>1106</v>
      </c>
      <c r="AB396" s="865" t="s">
        <v>1088</v>
      </c>
      <c r="AC396" s="872" t="str">
        <f t="shared" si="7"/>
        <v>三重県木曽岬町</v>
      </c>
      <c r="AD396" s="884">
        <v>10.210000000000001</v>
      </c>
      <c r="AE396" s="865">
        <v>10.17</v>
      </c>
      <c r="AF396" s="875">
        <v>10.14</v>
      </c>
      <c r="AG396" s="44"/>
    </row>
    <row r="397" spans="22:33">
      <c r="V397" s="830" t="s">
        <v>948</v>
      </c>
      <c r="W397" s="830" t="s">
        <v>1885</v>
      </c>
      <c r="X397" s="128"/>
      <c r="Y397" s="843" t="s">
        <v>1614</v>
      </c>
      <c r="Z397" s="849">
        <v>3.e-002</v>
      </c>
      <c r="AA397" s="860" t="s">
        <v>1106</v>
      </c>
      <c r="AB397" s="865" t="s">
        <v>1886</v>
      </c>
      <c r="AC397" s="872" t="str">
        <f t="shared" si="7"/>
        <v>三重県東員町</v>
      </c>
      <c r="AD397" s="884">
        <v>10.210000000000001</v>
      </c>
      <c r="AE397" s="865">
        <v>10.17</v>
      </c>
      <c r="AF397" s="875">
        <v>10.14</v>
      </c>
      <c r="AG397" s="44"/>
    </row>
    <row r="398" spans="22:33">
      <c r="V398" s="830" t="s">
        <v>948</v>
      </c>
      <c r="W398" s="830" t="s">
        <v>1889</v>
      </c>
      <c r="X398" s="128"/>
      <c r="Y398" s="843" t="s">
        <v>1614</v>
      </c>
      <c r="Z398" s="849">
        <v>3.e-002</v>
      </c>
      <c r="AA398" s="860" t="s">
        <v>1106</v>
      </c>
      <c r="AB398" s="865" t="s">
        <v>1730</v>
      </c>
      <c r="AC398" s="872" t="str">
        <f t="shared" si="7"/>
        <v>三重県菰野町</v>
      </c>
      <c r="AD398" s="884">
        <v>10.210000000000001</v>
      </c>
      <c r="AE398" s="865">
        <v>10.17</v>
      </c>
      <c r="AF398" s="875">
        <v>10.14</v>
      </c>
      <c r="AG398" s="44"/>
    </row>
    <row r="399" spans="22:33">
      <c r="V399" s="830" t="s">
        <v>948</v>
      </c>
      <c r="W399" s="830" t="s">
        <v>801</v>
      </c>
      <c r="X399" s="128"/>
      <c r="Y399" s="843" t="s">
        <v>1614</v>
      </c>
      <c r="Z399" s="849">
        <v>3.e-002</v>
      </c>
      <c r="AA399" s="860" t="s">
        <v>1106</v>
      </c>
      <c r="AB399" s="865" t="s">
        <v>1801</v>
      </c>
      <c r="AC399" s="872" t="str">
        <f t="shared" si="7"/>
        <v>三重県朝日町</v>
      </c>
      <c r="AD399" s="884">
        <v>10.210000000000001</v>
      </c>
      <c r="AE399" s="865">
        <v>10.17</v>
      </c>
      <c r="AF399" s="875">
        <v>10.14</v>
      </c>
      <c r="AG399" s="44"/>
    </row>
    <row r="400" spans="22:33">
      <c r="V400" s="830" t="s">
        <v>948</v>
      </c>
      <c r="W400" s="830" t="s">
        <v>1197</v>
      </c>
      <c r="X400" s="128"/>
      <c r="Y400" s="843" t="s">
        <v>1614</v>
      </c>
      <c r="Z400" s="849">
        <v>3.e-002</v>
      </c>
      <c r="AA400" s="860" t="s">
        <v>1106</v>
      </c>
      <c r="AB400" s="865" t="s">
        <v>1891</v>
      </c>
      <c r="AC400" s="872" t="str">
        <f t="shared" si="7"/>
        <v>三重県川越町</v>
      </c>
      <c r="AD400" s="884">
        <v>10.210000000000001</v>
      </c>
      <c r="AE400" s="865">
        <v>10.17</v>
      </c>
      <c r="AF400" s="875">
        <v>10.14</v>
      </c>
      <c r="AG400" s="44"/>
    </row>
    <row r="401" spans="22:33">
      <c r="V401" s="830" t="s">
        <v>948</v>
      </c>
      <c r="W401" s="830" t="s">
        <v>853</v>
      </c>
      <c r="X401" s="128"/>
      <c r="Y401" s="843" t="s">
        <v>1614</v>
      </c>
      <c r="Z401" s="849">
        <v>3.e-002</v>
      </c>
      <c r="AA401" s="860" t="s">
        <v>1122</v>
      </c>
      <c r="AB401" s="865" t="s">
        <v>660</v>
      </c>
      <c r="AC401" s="872" t="str">
        <f t="shared" si="7"/>
        <v>滋賀県長浜市</v>
      </c>
      <c r="AD401" s="884">
        <v>10.210000000000001</v>
      </c>
      <c r="AE401" s="865">
        <v>10.17</v>
      </c>
      <c r="AF401" s="875">
        <v>10.14</v>
      </c>
      <c r="AG401" s="44"/>
    </row>
    <row r="402" spans="22:33">
      <c r="V402" s="830" t="s">
        <v>948</v>
      </c>
      <c r="W402" s="830" t="s">
        <v>1892</v>
      </c>
      <c r="X402" s="128"/>
      <c r="Y402" s="843" t="s">
        <v>1614</v>
      </c>
      <c r="Z402" s="849">
        <v>3.e-002</v>
      </c>
      <c r="AA402" s="860" t="s">
        <v>1122</v>
      </c>
      <c r="AB402" s="865" t="s">
        <v>651</v>
      </c>
      <c r="AC402" s="872" t="str">
        <f t="shared" si="7"/>
        <v>滋賀県近江八幡市</v>
      </c>
      <c r="AD402" s="884">
        <v>10.210000000000001</v>
      </c>
      <c r="AE402" s="865">
        <v>10.17</v>
      </c>
      <c r="AF402" s="875">
        <v>10.14</v>
      </c>
      <c r="AG402" s="44"/>
    </row>
    <row r="403" spans="22:33">
      <c r="V403" s="830" t="s">
        <v>948</v>
      </c>
      <c r="W403" s="830" t="s">
        <v>1893</v>
      </c>
      <c r="X403" s="128"/>
      <c r="Y403" s="843" t="s">
        <v>1614</v>
      </c>
      <c r="Z403" s="849">
        <v>3.e-002</v>
      </c>
      <c r="AA403" s="860" t="s">
        <v>1122</v>
      </c>
      <c r="AB403" s="865" t="s">
        <v>1895</v>
      </c>
      <c r="AC403" s="872" t="str">
        <f t="shared" si="7"/>
        <v>滋賀県野洲市</v>
      </c>
      <c r="AD403" s="884">
        <v>10.210000000000001</v>
      </c>
      <c r="AE403" s="865">
        <v>10.17</v>
      </c>
      <c r="AF403" s="875">
        <v>10.14</v>
      </c>
      <c r="AG403" s="44"/>
    </row>
    <row r="404" spans="22:33">
      <c r="V404" s="830" t="s">
        <v>948</v>
      </c>
      <c r="W404" s="830" t="s">
        <v>1896</v>
      </c>
      <c r="X404" s="128"/>
      <c r="Y404" s="843" t="s">
        <v>1614</v>
      </c>
      <c r="Z404" s="849">
        <v>3.e-002</v>
      </c>
      <c r="AA404" s="860" t="s">
        <v>1122</v>
      </c>
      <c r="AB404" s="865" t="s">
        <v>1897</v>
      </c>
      <c r="AC404" s="872" t="str">
        <f t="shared" si="7"/>
        <v>滋賀県湖南市</v>
      </c>
      <c r="AD404" s="884">
        <v>10.210000000000001</v>
      </c>
      <c r="AE404" s="865">
        <v>10.17</v>
      </c>
      <c r="AF404" s="875">
        <v>10.14</v>
      </c>
      <c r="AG404" s="44"/>
    </row>
    <row r="405" spans="22:33">
      <c r="V405" s="830" t="s">
        <v>948</v>
      </c>
      <c r="W405" s="830" t="s">
        <v>1537</v>
      </c>
      <c r="X405" s="128"/>
      <c r="Y405" s="843" t="s">
        <v>1614</v>
      </c>
      <c r="Z405" s="849">
        <v>3.e-002</v>
      </c>
      <c r="AA405" s="860" t="s">
        <v>1122</v>
      </c>
      <c r="AB405" s="865" t="s">
        <v>1307</v>
      </c>
      <c r="AC405" s="872" t="str">
        <f t="shared" si="7"/>
        <v>滋賀県高島市</v>
      </c>
      <c r="AD405" s="884">
        <v>10.210000000000001</v>
      </c>
      <c r="AE405" s="865">
        <v>10.17</v>
      </c>
      <c r="AF405" s="875">
        <v>10.14</v>
      </c>
      <c r="AG405" s="44"/>
    </row>
    <row r="406" spans="22:33">
      <c r="V406" s="830" t="s">
        <v>948</v>
      </c>
      <c r="W406" s="830" t="s">
        <v>673</v>
      </c>
      <c r="X406" s="128"/>
      <c r="Y406" s="843" t="s">
        <v>1614</v>
      </c>
      <c r="Z406" s="849">
        <v>3.e-002</v>
      </c>
      <c r="AA406" s="860" t="s">
        <v>1122</v>
      </c>
      <c r="AB406" s="865" t="s">
        <v>1239</v>
      </c>
      <c r="AC406" s="872" t="str">
        <f t="shared" si="7"/>
        <v>滋賀県東近江市</v>
      </c>
      <c r="AD406" s="884">
        <v>10.210000000000001</v>
      </c>
      <c r="AE406" s="865">
        <v>10.17</v>
      </c>
      <c r="AF406" s="875">
        <v>10.14</v>
      </c>
      <c r="AG406" s="44"/>
    </row>
    <row r="407" spans="22:33">
      <c r="V407" s="830" t="s">
        <v>948</v>
      </c>
      <c r="W407" s="830" t="s">
        <v>862</v>
      </c>
      <c r="X407" s="128"/>
      <c r="Y407" s="843" t="s">
        <v>1614</v>
      </c>
      <c r="Z407" s="849">
        <v>3.e-002</v>
      </c>
      <c r="AA407" s="860" t="s">
        <v>1122</v>
      </c>
      <c r="AB407" s="865" t="s">
        <v>1898</v>
      </c>
      <c r="AC407" s="872" t="str">
        <f t="shared" si="7"/>
        <v>滋賀県日野町</v>
      </c>
      <c r="AD407" s="884">
        <v>10.210000000000001</v>
      </c>
      <c r="AE407" s="865">
        <v>10.17</v>
      </c>
      <c r="AF407" s="875">
        <v>10.14</v>
      </c>
      <c r="AG407" s="44"/>
    </row>
    <row r="408" spans="22:33">
      <c r="V408" s="830" t="s">
        <v>948</v>
      </c>
      <c r="W408" s="830" t="s">
        <v>327</v>
      </c>
      <c r="X408" s="128"/>
      <c r="Y408" s="843" t="s">
        <v>1614</v>
      </c>
      <c r="Z408" s="849">
        <v>3.e-002</v>
      </c>
      <c r="AA408" s="860" t="s">
        <v>1122</v>
      </c>
      <c r="AB408" s="865" t="s">
        <v>1899</v>
      </c>
      <c r="AC408" s="872" t="str">
        <f t="shared" si="7"/>
        <v>滋賀県竜王町</v>
      </c>
      <c r="AD408" s="884">
        <v>10.210000000000001</v>
      </c>
      <c r="AE408" s="865">
        <v>10.17</v>
      </c>
      <c r="AF408" s="875">
        <v>10.14</v>
      </c>
      <c r="AG408" s="44"/>
    </row>
    <row r="409" spans="22:33">
      <c r="V409" s="830" t="s">
        <v>948</v>
      </c>
      <c r="W409" s="830" t="s">
        <v>1900</v>
      </c>
      <c r="X409" s="128"/>
      <c r="Y409" s="843" t="s">
        <v>1614</v>
      </c>
      <c r="Z409" s="849">
        <v>3.e-002</v>
      </c>
      <c r="AA409" s="860" t="s">
        <v>520</v>
      </c>
      <c r="AB409" s="865" t="s">
        <v>1901</v>
      </c>
      <c r="AC409" s="872" t="str">
        <f t="shared" si="7"/>
        <v>京都府久御山町</v>
      </c>
      <c r="AD409" s="884">
        <v>10.210000000000001</v>
      </c>
      <c r="AE409" s="865">
        <v>10.17</v>
      </c>
      <c r="AF409" s="875">
        <v>10.14</v>
      </c>
      <c r="AG409" s="44"/>
    </row>
    <row r="410" spans="22:33">
      <c r="V410" s="830" t="s">
        <v>948</v>
      </c>
      <c r="W410" s="830" t="s">
        <v>1493</v>
      </c>
      <c r="X410" s="128"/>
      <c r="Y410" s="843" t="s">
        <v>1614</v>
      </c>
      <c r="Z410" s="849">
        <v>3.e-002</v>
      </c>
      <c r="AA410" s="860" t="s">
        <v>1158</v>
      </c>
      <c r="AB410" s="865" t="s">
        <v>1902</v>
      </c>
      <c r="AC410" s="872" t="str">
        <f t="shared" si="7"/>
        <v>兵庫県姫路市</v>
      </c>
      <c r="AD410" s="884">
        <v>10.210000000000001</v>
      </c>
      <c r="AE410" s="865">
        <v>10.17</v>
      </c>
      <c r="AF410" s="875">
        <v>10.14</v>
      </c>
      <c r="AG410" s="44"/>
    </row>
    <row r="411" spans="22:33">
      <c r="V411" s="830" t="s">
        <v>948</v>
      </c>
      <c r="W411" s="830" t="s">
        <v>470</v>
      </c>
      <c r="X411" s="128"/>
      <c r="Y411" s="843" t="s">
        <v>1614</v>
      </c>
      <c r="Z411" s="849">
        <v>3.e-002</v>
      </c>
      <c r="AA411" s="860" t="s">
        <v>1158</v>
      </c>
      <c r="AB411" s="865" t="s">
        <v>1668</v>
      </c>
      <c r="AC411" s="872" t="str">
        <f t="shared" si="7"/>
        <v>兵庫県加古川市</v>
      </c>
      <c r="AD411" s="884">
        <v>10.210000000000001</v>
      </c>
      <c r="AE411" s="865">
        <v>10.17</v>
      </c>
      <c r="AF411" s="875">
        <v>10.14</v>
      </c>
      <c r="AG411" s="44"/>
    </row>
    <row r="412" spans="22:33">
      <c r="V412" s="830" t="s">
        <v>948</v>
      </c>
      <c r="W412" s="830" t="s">
        <v>1904</v>
      </c>
      <c r="X412" s="128"/>
      <c r="Y412" s="843" t="s">
        <v>1614</v>
      </c>
      <c r="Z412" s="849">
        <v>3.e-002</v>
      </c>
      <c r="AA412" s="860" t="s">
        <v>1158</v>
      </c>
      <c r="AB412" s="865" t="s">
        <v>1905</v>
      </c>
      <c r="AC412" s="872" t="str">
        <f t="shared" si="7"/>
        <v>兵庫県三木市</v>
      </c>
      <c r="AD412" s="884">
        <v>10.210000000000001</v>
      </c>
      <c r="AE412" s="865">
        <v>10.17</v>
      </c>
      <c r="AF412" s="875">
        <v>10.14</v>
      </c>
      <c r="AG412" s="44"/>
    </row>
    <row r="413" spans="22:33">
      <c r="V413" s="830" t="s">
        <v>948</v>
      </c>
      <c r="W413" s="830" t="s">
        <v>407</v>
      </c>
      <c r="X413" s="128"/>
      <c r="Y413" s="843" t="s">
        <v>1614</v>
      </c>
      <c r="Z413" s="849">
        <v>3.e-002</v>
      </c>
      <c r="AA413" s="860" t="s">
        <v>1158</v>
      </c>
      <c r="AB413" s="865" t="s">
        <v>1907</v>
      </c>
      <c r="AC413" s="872" t="str">
        <f t="shared" si="7"/>
        <v>兵庫県高砂市</v>
      </c>
      <c r="AD413" s="884">
        <v>10.210000000000001</v>
      </c>
      <c r="AE413" s="865">
        <v>10.17</v>
      </c>
      <c r="AF413" s="875">
        <v>10.14</v>
      </c>
      <c r="AG413" s="44"/>
    </row>
    <row r="414" spans="22:33">
      <c r="V414" s="830" t="s">
        <v>948</v>
      </c>
      <c r="W414" s="830" t="s">
        <v>1377</v>
      </c>
      <c r="X414" s="128"/>
      <c r="Y414" s="843" t="s">
        <v>1614</v>
      </c>
      <c r="Z414" s="849">
        <v>3.e-002</v>
      </c>
      <c r="AA414" s="860" t="s">
        <v>1158</v>
      </c>
      <c r="AB414" s="865" t="s">
        <v>1786</v>
      </c>
      <c r="AC414" s="872" t="str">
        <f t="shared" si="7"/>
        <v>兵庫県稲美町</v>
      </c>
      <c r="AD414" s="884">
        <v>10.210000000000001</v>
      </c>
      <c r="AE414" s="865">
        <v>10.17</v>
      </c>
      <c r="AF414" s="875">
        <v>10.14</v>
      </c>
      <c r="AG414" s="44"/>
    </row>
    <row r="415" spans="22:33">
      <c r="V415" s="830" t="s">
        <v>719</v>
      </c>
      <c r="W415" s="830" t="s">
        <v>1254</v>
      </c>
      <c r="X415" s="128"/>
      <c r="Y415" s="843" t="s">
        <v>1614</v>
      </c>
      <c r="Z415" s="849">
        <v>3.e-002</v>
      </c>
      <c r="AA415" s="860" t="s">
        <v>1158</v>
      </c>
      <c r="AB415" s="865" t="s">
        <v>1910</v>
      </c>
      <c r="AC415" s="872" t="str">
        <f t="shared" si="7"/>
        <v>兵庫県播磨町</v>
      </c>
      <c r="AD415" s="884">
        <v>10.210000000000001</v>
      </c>
      <c r="AE415" s="865">
        <v>10.17</v>
      </c>
      <c r="AF415" s="875">
        <v>10.14</v>
      </c>
      <c r="AG415" s="44"/>
    </row>
    <row r="416" spans="22:33">
      <c r="V416" s="830" t="s">
        <v>719</v>
      </c>
      <c r="W416" s="830" t="s">
        <v>882</v>
      </c>
      <c r="X416" s="128"/>
      <c r="Y416" s="843" t="s">
        <v>1614</v>
      </c>
      <c r="Z416" s="849">
        <v>3.e-002</v>
      </c>
      <c r="AA416" s="860" t="s">
        <v>641</v>
      </c>
      <c r="AB416" s="865" t="s">
        <v>223</v>
      </c>
      <c r="AC416" s="872" t="str">
        <f t="shared" si="7"/>
        <v>奈良県大和高田市</v>
      </c>
      <c r="AD416" s="884">
        <v>10.210000000000001</v>
      </c>
      <c r="AE416" s="865">
        <v>10.17</v>
      </c>
      <c r="AF416" s="875">
        <v>10.14</v>
      </c>
      <c r="AG416" s="44"/>
    </row>
    <row r="417" spans="22:33">
      <c r="V417" s="830" t="s">
        <v>719</v>
      </c>
      <c r="W417" s="830" t="s">
        <v>380</v>
      </c>
      <c r="X417" s="128"/>
      <c r="Y417" s="843" t="s">
        <v>1614</v>
      </c>
      <c r="Z417" s="849">
        <v>3.e-002</v>
      </c>
      <c r="AA417" s="860" t="s">
        <v>641</v>
      </c>
      <c r="AB417" s="865" t="s">
        <v>1911</v>
      </c>
      <c r="AC417" s="872" t="str">
        <f t="shared" si="7"/>
        <v>奈良県天理市</v>
      </c>
      <c r="AD417" s="884">
        <v>10.210000000000001</v>
      </c>
      <c r="AE417" s="865">
        <v>10.17</v>
      </c>
      <c r="AF417" s="875">
        <v>10.14</v>
      </c>
      <c r="AG417" s="44"/>
    </row>
    <row r="418" spans="22:33">
      <c r="V418" s="830" t="s">
        <v>719</v>
      </c>
      <c r="W418" s="830" t="s">
        <v>1496</v>
      </c>
      <c r="X418" s="128"/>
      <c r="Y418" s="843" t="s">
        <v>1614</v>
      </c>
      <c r="Z418" s="849">
        <v>3.e-002</v>
      </c>
      <c r="AA418" s="860" t="s">
        <v>641</v>
      </c>
      <c r="AB418" s="865" t="s">
        <v>1913</v>
      </c>
      <c r="AC418" s="872" t="str">
        <f t="shared" si="7"/>
        <v>奈良県橿原市</v>
      </c>
      <c r="AD418" s="884">
        <v>10.210000000000001</v>
      </c>
      <c r="AE418" s="865">
        <v>10.17</v>
      </c>
      <c r="AF418" s="875">
        <v>10.14</v>
      </c>
      <c r="AG418" s="44"/>
    </row>
    <row r="419" spans="22:33">
      <c r="V419" s="830" t="s">
        <v>719</v>
      </c>
      <c r="W419" s="830" t="s">
        <v>1332</v>
      </c>
      <c r="X419" s="128"/>
      <c r="Y419" s="843" t="s">
        <v>1614</v>
      </c>
      <c r="Z419" s="849">
        <v>3.e-002</v>
      </c>
      <c r="AA419" s="860" t="s">
        <v>641</v>
      </c>
      <c r="AB419" s="865" t="s">
        <v>1914</v>
      </c>
      <c r="AC419" s="872" t="str">
        <f t="shared" si="7"/>
        <v>奈良県桜井市</v>
      </c>
      <c r="AD419" s="884">
        <v>10.210000000000001</v>
      </c>
      <c r="AE419" s="865">
        <v>10.17</v>
      </c>
      <c r="AF419" s="875">
        <v>10.14</v>
      </c>
      <c r="AG419" s="44"/>
    </row>
    <row r="420" spans="22:33">
      <c r="V420" s="830" t="s">
        <v>719</v>
      </c>
      <c r="W420" s="830" t="s">
        <v>1210</v>
      </c>
      <c r="X420" s="128"/>
      <c r="Y420" s="843" t="s">
        <v>1614</v>
      </c>
      <c r="Z420" s="849">
        <v>3.e-002</v>
      </c>
      <c r="AA420" s="860" t="s">
        <v>641</v>
      </c>
      <c r="AB420" s="865" t="s">
        <v>50</v>
      </c>
      <c r="AC420" s="872" t="str">
        <f t="shared" si="7"/>
        <v>奈良県御所市</v>
      </c>
      <c r="AD420" s="884">
        <v>10.210000000000001</v>
      </c>
      <c r="AE420" s="865">
        <v>10.17</v>
      </c>
      <c r="AF420" s="875">
        <v>10.14</v>
      </c>
      <c r="AG420" s="44"/>
    </row>
    <row r="421" spans="22:33">
      <c r="V421" s="830" t="s">
        <v>719</v>
      </c>
      <c r="W421" s="830" t="s">
        <v>1393</v>
      </c>
      <c r="X421" s="128"/>
      <c r="Y421" s="843" t="s">
        <v>1614</v>
      </c>
      <c r="Z421" s="849">
        <v>3.e-002</v>
      </c>
      <c r="AA421" s="860" t="s">
        <v>641</v>
      </c>
      <c r="AB421" s="865" t="s">
        <v>1774</v>
      </c>
      <c r="AC421" s="872" t="str">
        <f t="shared" si="7"/>
        <v>奈良県香芝市</v>
      </c>
      <c r="AD421" s="884">
        <v>10.210000000000001</v>
      </c>
      <c r="AE421" s="865">
        <v>10.17</v>
      </c>
      <c r="AF421" s="875">
        <v>10.14</v>
      </c>
      <c r="AG421" s="44"/>
    </row>
    <row r="422" spans="22:33">
      <c r="V422" s="830" t="s">
        <v>719</v>
      </c>
      <c r="W422" s="830" t="s">
        <v>1711</v>
      </c>
      <c r="X422" s="128"/>
      <c r="Y422" s="843" t="s">
        <v>1614</v>
      </c>
      <c r="Z422" s="849">
        <v>3.e-002</v>
      </c>
      <c r="AA422" s="860" t="s">
        <v>641</v>
      </c>
      <c r="AB422" s="865" t="s">
        <v>433</v>
      </c>
      <c r="AC422" s="872" t="str">
        <f t="shared" si="7"/>
        <v>奈良県葛城市</v>
      </c>
      <c r="AD422" s="884">
        <v>10.210000000000001</v>
      </c>
      <c r="AE422" s="865">
        <v>10.17</v>
      </c>
      <c r="AF422" s="875">
        <v>10.14</v>
      </c>
      <c r="AG422" s="44"/>
    </row>
    <row r="423" spans="22:33">
      <c r="V423" s="830" t="s">
        <v>719</v>
      </c>
      <c r="W423" s="830" t="s">
        <v>1713</v>
      </c>
      <c r="X423" s="128"/>
      <c r="Y423" s="843" t="s">
        <v>1614</v>
      </c>
      <c r="Z423" s="849">
        <v>3.e-002</v>
      </c>
      <c r="AA423" s="860" t="s">
        <v>641</v>
      </c>
      <c r="AB423" s="865" t="s">
        <v>1915</v>
      </c>
      <c r="AC423" s="872" t="str">
        <f t="shared" si="7"/>
        <v>奈良県宇陀市</v>
      </c>
      <c r="AD423" s="884">
        <v>10.210000000000001</v>
      </c>
      <c r="AE423" s="865">
        <v>10.17</v>
      </c>
      <c r="AF423" s="875">
        <v>10.14</v>
      </c>
      <c r="AG423" s="44"/>
    </row>
    <row r="424" spans="22:33">
      <c r="V424" s="830" t="s">
        <v>719</v>
      </c>
      <c r="W424" s="830" t="s">
        <v>1253</v>
      </c>
      <c r="X424" s="128"/>
      <c r="Y424" s="843" t="s">
        <v>1614</v>
      </c>
      <c r="Z424" s="849">
        <v>3.e-002</v>
      </c>
      <c r="AA424" s="860" t="s">
        <v>641</v>
      </c>
      <c r="AB424" s="865" t="s">
        <v>1918</v>
      </c>
      <c r="AC424" s="872" t="str">
        <f t="shared" si="7"/>
        <v>奈良県山添村</v>
      </c>
      <c r="AD424" s="884">
        <v>10.210000000000001</v>
      </c>
      <c r="AE424" s="865">
        <v>10.17</v>
      </c>
      <c r="AF424" s="875">
        <v>10.14</v>
      </c>
      <c r="AG424" s="44"/>
    </row>
    <row r="425" spans="22:33">
      <c r="V425" s="830" t="s">
        <v>719</v>
      </c>
      <c r="W425" s="830" t="s">
        <v>1312</v>
      </c>
      <c r="X425" s="128"/>
      <c r="Y425" s="843" t="s">
        <v>1614</v>
      </c>
      <c r="Z425" s="849">
        <v>3.e-002</v>
      </c>
      <c r="AA425" s="860" t="s">
        <v>641</v>
      </c>
      <c r="AB425" s="865" t="s">
        <v>717</v>
      </c>
      <c r="AC425" s="872" t="str">
        <f t="shared" si="7"/>
        <v>奈良県平群町</v>
      </c>
      <c r="AD425" s="884">
        <v>10.210000000000001</v>
      </c>
      <c r="AE425" s="865">
        <v>10.17</v>
      </c>
      <c r="AF425" s="875">
        <v>10.14</v>
      </c>
      <c r="AG425" s="44"/>
    </row>
    <row r="426" spans="22:33">
      <c r="V426" s="830" t="s">
        <v>719</v>
      </c>
      <c r="W426" s="830" t="s">
        <v>1919</v>
      </c>
      <c r="X426" s="128"/>
      <c r="Y426" s="843" t="s">
        <v>1614</v>
      </c>
      <c r="Z426" s="849">
        <v>3.e-002</v>
      </c>
      <c r="AA426" s="860" t="s">
        <v>641</v>
      </c>
      <c r="AB426" s="865" t="s">
        <v>636</v>
      </c>
      <c r="AC426" s="872" t="str">
        <f t="shared" si="7"/>
        <v>奈良県三郷町</v>
      </c>
      <c r="AD426" s="884">
        <v>10.210000000000001</v>
      </c>
      <c r="AE426" s="865">
        <v>10.17</v>
      </c>
      <c r="AF426" s="875">
        <v>10.14</v>
      </c>
      <c r="AG426" s="44"/>
    </row>
    <row r="427" spans="22:33">
      <c r="V427" s="830" t="s">
        <v>719</v>
      </c>
      <c r="W427" s="830" t="s">
        <v>1716</v>
      </c>
      <c r="X427" s="128"/>
      <c r="Y427" s="843" t="s">
        <v>1614</v>
      </c>
      <c r="Z427" s="849">
        <v>3.e-002</v>
      </c>
      <c r="AA427" s="860" t="s">
        <v>641</v>
      </c>
      <c r="AB427" s="865" t="s">
        <v>110</v>
      </c>
      <c r="AC427" s="872" t="str">
        <f t="shared" si="7"/>
        <v>奈良県斑鳩町</v>
      </c>
      <c r="AD427" s="884">
        <v>10.210000000000001</v>
      </c>
      <c r="AE427" s="865">
        <v>10.17</v>
      </c>
      <c r="AF427" s="875">
        <v>10.14</v>
      </c>
      <c r="AG427" s="44"/>
    </row>
    <row r="428" spans="22:33">
      <c r="V428" s="830" t="s">
        <v>719</v>
      </c>
      <c r="W428" s="830" t="s">
        <v>318</v>
      </c>
      <c r="X428" s="128"/>
      <c r="Y428" s="843" t="s">
        <v>1614</v>
      </c>
      <c r="Z428" s="849">
        <v>3.e-002</v>
      </c>
      <c r="AA428" s="860" t="s">
        <v>641</v>
      </c>
      <c r="AB428" s="865" t="s">
        <v>1921</v>
      </c>
      <c r="AC428" s="872" t="str">
        <f t="shared" si="7"/>
        <v>奈良県安堵町</v>
      </c>
      <c r="AD428" s="884">
        <v>10.210000000000001</v>
      </c>
      <c r="AE428" s="865">
        <v>10.17</v>
      </c>
      <c r="AF428" s="875">
        <v>10.14</v>
      </c>
      <c r="AG428" s="44"/>
    </row>
    <row r="429" spans="22:33">
      <c r="V429" s="830" t="s">
        <v>719</v>
      </c>
      <c r="W429" s="830" t="s">
        <v>529</v>
      </c>
      <c r="X429" s="128"/>
      <c r="Y429" s="843" t="s">
        <v>1614</v>
      </c>
      <c r="Z429" s="849">
        <v>3.e-002</v>
      </c>
      <c r="AA429" s="860" t="s">
        <v>641</v>
      </c>
      <c r="AB429" s="865" t="s">
        <v>1816</v>
      </c>
      <c r="AC429" s="872" t="str">
        <f t="shared" si="7"/>
        <v>奈良県川西町</v>
      </c>
      <c r="AD429" s="884">
        <v>10.210000000000001</v>
      </c>
      <c r="AE429" s="865">
        <v>10.17</v>
      </c>
      <c r="AF429" s="875">
        <v>10.14</v>
      </c>
      <c r="AG429" s="44"/>
    </row>
    <row r="430" spans="22:33">
      <c r="V430" s="830" t="s">
        <v>719</v>
      </c>
      <c r="W430" s="830" t="s">
        <v>1396</v>
      </c>
      <c r="X430" s="128"/>
      <c r="Y430" s="843" t="s">
        <v>1614</v>
      </c>
      <c r="Z430" s="849">
        <v>3.e-002</v>
      </c>
      <c r="AA430" s="860" t="s">
        <v>641</v>
      </c>
      <c r="AB430" s="865" t="s">
        <v>1922</v>
      </c>
      <c r="AC430" s="872" t="str">
        <f t="shared" si="7"/>
        <v>奈良県三宅町</v>
      </c>
      <c r="AD430" s="884">
        <v>10.210000000000001</v>
      </c>
      <c r="AE430" s="865">
        <v>10.17</v>
      </c>
      <c r="AF430" s="875">
        <v>10.14</v>
      </c>
      <c r="AG430" s="44"/>
    </row>
    <row r="431" spans="22:33">
      <c r="V431" s="830" t="s">
        <v>719</v>
      </c>
      <c r="W431" s="830" t="s">
        <v>1718</v>
      </c>
      <c r="X431" s="128"/>
      <c r="Y431" s="843" t="s">
        <v>1614</v>
      </c>
      <c r="Z431" s="849">
        <v>3.e-002</v>
      </c>
      <c r="AA431" s="860" t="s">
        <v>641</v>
      </c>
      <c r="AB431" s="865" t="s">
        <v>1923</v>
      </c>
      <c r="AC431" s="872" t="str">
        <f t="shared" si="7"/>
        <v>奈良県田原本町</v>
      </c>
      <c r="AD431" s="884">
        <v>10.210000000000001</v>
      </c>
      <c r="AE431" s="865">
        <v>10.17</v>
      </c>
      <c r="AF431" s="875">
        <v>10.14</v>
      </c>
      <c r="AG431" s="44"/>
    </row>
    <row r="432" spans="22:33">
      <c r="V432" s="830" t="s">
        <v>719</v>
      </c>
      <c r="W432" s="830" t="s">
        <v>793</v>
      </c>
      <c r="X432" s="128"/>
      <c r="Y432" s="843" t="s">
        <v>1614</v>
      </c>
      <c r="Z432" s="849">
        <v>3.e-002</v>
      </c>
      <c r="AA432" s="860" t="s">
        <v>641</v>
      </c>
      <c r="AB432" s="865" t="s">
        <v>129</v>
      </c>
      <c r="AC432" s="872" t="str">
        <f t="shared" si="7"/>
        <v>奈良県曽爾村</v>
      </c>
      <c r="AD432" s="884">
        <v>10.210000000000001</v>
      </c>
      <c r="AE432" s="865">
        <v>10.17</v>
      </c>
      <c r="AF432" s="875">
        <v>10.14</v>
      </c>
      <c r="AG432" s="44"/>
    </row>
    <row r="433" spans="22:33">
      <c r="V433" s="830" t="s">
        <v>719</v>
      </c>
      <c r="W433" s="830" t="s">
        <v>1926</v>
      </c>
      <c r="X433" s="128"/>
      <c r="Y433" s="843" t="s">
        <v>1614</v>
      </c>
      <c r="Z433" s="849">
        <v>3.e-002</v>
      </c>
      <c r="AA433" s="860" t="s">
        <v>641</v>
      </c>
      <c r="AB433" s="865" t="s">
        <v>1861</v>
      </c>
      <c r="AC433" s="872" t="str">
        <f t="shared" si="7"/>
        <v>奈良県明日香村</v>
      </c>
      <c r="AD433" s="884">
        <v>10.210000000000001</v>
      </c>
      <c r="AE433" s="865">
        <v>10.17</v>
      </c>
      <c r="AF433" s="875">
        <v>10.14</v>
      </c>
      <c r="AG433" s="44"/>
    </row>
    <row r="434" spans="22:33">
      <c r="V434" s="830" t="s">
        <v>719</v>
      </c>
      <c r="W434" s="830" t="s">
        <v>246</v>
      </c>
      <c r="X434" s="128"/>
      <c r="Y434" s="843" t="s">
        <v>1614</v>
      </c>
      <c r="Z434" s="849">
        <v>3.e-002</v>
      </c>
      <c r="AA434" s="860" t="s">
        <v>641</v>
      </c>
      <c r="AB434" s="865" t="s">
        <v>265</v>
      </c>
      <c r="AC434" s="872" t="str">
        <f t="shared" si="7"/>
        <v>奈良県上牧町</v>
      </c>
      <c r="AD434" s="884">
        <v>10.210000000000001</v>
      </c>
      <c r="AE434" s="865">
        <v>10.17</v>
      </c>
      <c r="AF434" s="875">
        <v>10.14</v>
      </c>
      <c r="AG434" s="44"/>
    </row>
    <row r="435" spans="22:33">
      <c r="V435" s="830" t="s">
        <v>719</v>
      </c>
      <c r="W435" s="830" t="s">
        <v>1927</v>
      </c>
      <c r="X435" s="128"/>
      <c r="Y435" s="843" t="s">
        <v>1614</v>
      </c>
      <c r="Z435" s="849">
        <v>3.e-002</v>
      </c>
      <c r="AA435" s="860" t="s">
        <v>641</v>
      </c>
      <c r="AB435" s="865" t="s">
        <v>1446</v>
      </c>
      <c r="AC435" s="872" t="str">
        <f t="shared" si="7"/>
        <v>奈良県王寺町</v>
      </c>
      <c r="AD435" s="884">
        <v>10.210000000000001</v>
      </c>
      <c r="AE435" s="865">
        <v>10.17</v>
      </c>
      <c r="AF435" s="875">
        <v>10.14</v>
      </c>
      <c r="AG435" s="44"/>
    </row>
    <row r="436" spans="22:33">
      <c r="V436" s="830" t="s">
        <v>719</v>
      </c>
      <c r="W436" s="830" t="s">
        <v>927</v>
      </c>
      <c r="X436" s="128"/>
      <c r="Y436" s="843" t="s">
        <v>1614</v>
      </c>
      <c r="Z436" s="849">
        <v>3.e-002</v>
      </c>
      <c r="AA436" s="860" t="s">
        <v>641</v>
      </c>
      <c r="AB436" s="865" t="s">
        <v>1928</v>
      </c>
      <c r="AC436" s="872" t="str">
        <f t="shared" si="7"/>
        <v>奈良県広陵町</v>
      </c>
      <c r="AD436" s="884">
        <v>10.210000000000001</v>
      </c>
      <c r="AE436" s="865">
        <v>10.17</v>
      </c>
      <c r="AF436" s="875">
        <v>10.14</v>
      </c>
      <c r="AG436" s="44"/>
    </row>
    <row r="437" spans="22:33">
      <c r="V437" s="830" t="s">
        <v>719</v>
      </c>
      <c r="W437" s="830" t="s">
        <v>1054</v>
      </c>
      <c r="X437" s="128"/>
      <c r="Y437" s="843" t="s">
        <v>1614</v>
      </c>
      <c r="Z437" s="849">
        <v>3.e-002</v>
      </c>
      <c r="AA437" s="860" t="s">
        <v>641</v>
      </c>
      <c r="AB437" s="865" t="s">
        <v>1329</v>
      </c>
      <c r="AC437" s="872" t="str">
        <f t="shared" si="7"/>
        <v>奈良県河合町</v>
      </c>
      <c r="AD437" s="884">
        <v>10.210000000000001</v>
      </c>
      <c r="AE437" s="865">
        <v>10.17</v>
      </c>
      <c r="AF437" s="875">
        <v>10.14</v>
      </c>
      <c r="AG437" s="44"/>
    </row>
    <row r="438" spans="22:33">
      <c r="V438" s="830" t="s">
        <v>719</v>
      </c>
      <c r="W438" s="830" t="s">
        <v>1725</v>
      </c>
      <c r="X438" s="128"/>
      <c r="Y438" s="843" t="s">
        <v>1614</v>
      </c>
      <c r="Z438" s="849">
        <v>3.e-002</v>
      </c>
      <c r="AA438" s="860" t="s">
        <v>1207</v>
      </c>
      <c r="AB438" s="865" t="s">
        <v>1929</v>
      </c>
      <c r="AC438" s="872" t="str">
        <f t="shared" si="7"/>
        <v>岡山県岡山市</v>
      </c>
      <c r="AD438" s="884">
        <v>10.210000000000001</v>
      </c>
      <c r="AE438" s="865">
        <v>10.17</v>
      </c>
      <c r="AF438" s="875">
        <v>10.14</v>
      </c>
      <c r="AG438" s="44"/>
    </row>
    <row r="439" spans="22:33">
      <c r="V439" s="830" t="s">
        <v>719</v>
      </c>
      <c r="W439" s="830" t="s">
        <v>1727</v>
      </c>
      <c r="X439" s="128"/>
      <c r="Y439" s="843" t="s">
        <v>1614</v>
      </c>
      <c r="Z439" s="849">
        <v>3.e-002</v>
      </c>
      <c r="AA439" s="860" t="s">
        <v>1221</v>
      </c>
      <c r="AB439" s="865" t="s">
        <v>1930</v>
      </c>
      <c r="AC439" s="872" t="str">
        <f t="shared" si="7"/>
        <v>広島県東広島市</v>
      </c>
      <c r="AD439" s="884">
        <v>10.210000000000001</v>
      </c>
      <c r="AE439" s="865">
        <v>10.17</v>
      </c>
      <c r="AF439" s="875">
        <v>10.14</v>
      </c>
      <c r="AG439" s="44"/>
    </row>
    <row r="440" spans="22:33">
      <c r="V440" s="830" t="s">
        <v>719</v>
      </c>
      <c r="W440" s="830" t="s">
        <v>1743</v>
      </c>
      <c r="X440" s="128"/>
      <c r="Y440" s="843" t="s">
        <v>1614</v>
      </c>
      <c r="Z440" s="849">
        <v>3.e-002</v>
      </c>
      <c r="AA440" s="860" t="s">
        <v>1221</v>
      </c>
      <c r="AB440" s="865" t="s">
        <v>1931</v>
      </c>
      <c r="AC440" s="872" t="str">
        <f t="shared" si="7"/>
        <v>広島県廿日市市</v>
      </c>
      <c r="AD440" s="884">
        <v>10.210000000000001</v>
      </c>
      <c r="AE440" s="865">
        <v>10.17</v>
      </c>
      <c r="AF440" s="875">
        <v>10.14</v>
      </c>
      <c r="AG440" s="44"/>
    </row>
    <row r="441" spans="22:33">
      <c r="V441" s="830" t="s">
        <v>719</v>
      </c>
      <c r="W441" s="830" t="s">
        <v>489</v>
      </c>
      <c r="X441" s="128"/>
      <c r="Y441" s="843" t="s">
        <v>1614</v>
      </c>
      <c r="Z441" s="849">
        <v>3.e-002</v>
      </c>
      <c r="AA441" s="860" t="s">
        <v>1221</v>
      </c>
      <c r="AB441" s="865" t="s">
        <v>600</v>
      </c>
      <c r="AC441" s="872" t="str">
        <f t="shared" si="7"/>
        <v>広島県海田町</v>
      </c>
      <c r="AD441" s="884">
        <v>10.210000000000001</v>
      </c>
      <c r="AE441" s="865">
        <v>10.17</v>
      </c>
      <c r="AF441" s="875">
        <v>10.14</v>
      </c>
      <c r="AG441" s="44"/>
    </row>
    <row r="442" spans="22:33">
      <c r="V442" s="830" t="s">
        <v>719</v>
      </c>
      <c r="W442" s="830" t="s">
        <v>428</v>
      </c>
      <c r="X442" s="128"/>
      <c r="Y442" s="843" t="s">
        <v>1614</v>
      </c>
      <c r="Z442" s="849">
        <v>3.e-002</v>
      </c>
      <c r="AA442" s="860" t="s">
        <v>1221</v>
      </c>
      <c r="AB442" s="865" t="s">
        <v>1933</v>
      </c>
      <c r="AC442" s="872" t="str">
        <f t="shared" si="7"/>
        <v>広島県熊野町</v>
      </c>
      <c r="AD442" s="884">
        <v>10.210000000000001</v>
      </c>
      <c r="AE442" s="865">
        <v>10.17</v>
      </c>
      <c r="AF442" s="875">
        <v>10.14</v>
      </c>
      <c r="AG442" s="44"/>
    </row>
    <row r="443" spans="22:33">
      <c r="V443" s="830" t="s">
        <v>719</v>
      </c>
      <c r="W443" s="830" t="s">
        <v>1934</v>
      </c>
      <c r="X443" s="128"/>
      <c r="Y443" s="843" t="s">
        <v>1614</v>
      </c>
      <c r="Z443" s="849">
        <v>3.e-002</v>
      </c>
      <c r="AA443" s="860" t="s">
        <v>1221</v>
      </c>
      <c r="AB443" s="865" t="s">
        <v>1935</v>
      </c>
      <c r="AC443" s="872" t="str">
        <f t="shared" si="7"/>
        <v>広島県坂町</v>
      </c>
      <c r="AD443" s="884">
        <v>10.210000000000001</v>
      </c>
      <c r="AE443" s="865">
        <v>10.17</v>
      </c>
      <c r="AF443" s="875">
        <v>10.14</v>
      </c>
      <c r="AG443" s="44"/>
    </row>
    <row r="444" spans="22:33">
      <c r="V444" s="830" t="s">
        <v>719</v>
      </c>
      <c r="W444" s="830" t="s">
        <v>1050</v>
      </c>
      <c r="X444" s="128"/>
      <c r="Y444" s="843" t="s">
        <v>1614</v>
      </c>
      <c r="Z444" s="849">
        <v>3.e-002</v>
      </c>
      <c r="AA444" s="860" t="s">
        <v>926</v>
      </c>
      <c r="AB444" s="865" t="s">
        <v>941</v>
      </c>
      <c r="AC444" s="872" t="str">
        <f t="shared" si="7"/>
        <v>山口県周南市</v>
      </c>
      <c r="AD444" s="884">
        <v>10.210000000000001</v>
      </c>
      <c r="AE444" s="865">
        <v>10.17</v>
      </c>
      <c r="AF444" s="875">
        <v>10.14</v>
      </c>
      <c r="AG444" s="44"/>
    </row>
    <row r="445" spans="22:33">
      <c r="V445" s="830" t="s">
        <v>719</v>
      </c>
      <c r="W445" s="830" t="s">
        <v>381</v>
      </c>
      <c r="X445" s="128"/>
      <c r="Y445" s="843" t="s">
        <v>1614</v>
      </c>
      <c r="Z445" s="849">
        <v>3.e-002</v>
      </c>
      <c r="AA445" s="860" t="s">
        <v>579</v>
      </c>
      <c r="AB445" s="865" t="s">
        <v>1936</v>
      </c>
      <c r="AC445" s="872" t="str">
        <f t="shared" si="7"/>
        <v>徳島県徳島市</v>
      </c>
      <c r="AD445" s="884">
        <v>10.210000000000001</v>
      </c>
      <c r="AE445" s="865">
        <v>10.17</v>
      </c>
      <c r="AF445" s="875">
        <v>10.14</v>
      </c>
      <c r="AG445" s="44"/>
    </row>
    <row r="446" spans="22:33">
      <c r="V446" s="830" t="s">
        <v>719</v>
      </c>
      <c r="W446" s="830" t="s">
        <v>292</v>
      </c>
      <c r="X446" s="128"/>
      <c r="Y446" s="843" t="s">
        <v>1614</v>
      </c>
      <c r="Z446" s="849">
        <v>3.e-002</v>
      </c>
      <c r="AA446" s="860" t="s">
        <v>1224</v>
      </c>
      <c r="AB446" s="865" t="s">
        <v>1937</v>
      </c>
      <c r="AC446" s="872" t="str">
        <f t="shared" si="7"/>
        <v>香川県高松市</v>
      </c>
      <c r="AD446" s="884">
        <v>10.210000000000001</v>
      </c>
      <c r="AE446" s="865">
        <v>10.17</v>
      </c>
      <c r="AF446" s="875">
        <v>10.14</v>
      </c>
      <c r="AG446" s="44"/>
    </row>
    <row r="447" spans="22:33">
      <c r="V447" s="830" t="s">
        <v>719</v>
      </c>
      <c r="W447" s="830" t="s">
        <v>1938</v>
      </c>
      <c r="X447" s="128"/>
      <c r="Y447" s="843" t="s">
        <v>1614</v>
      </c>
      <c r="Z447" s="849">
        <v>3.e-002</v>
      </c>
      <c r="AA447" s="860" t="s">
        <v>1264</v>
      </c>
      <c r="AB447" s="865" t="s">
        <v>586</v>
      </c>
      <c r="AC447" s="872" t="str">
        <f t="shared" si="7"/>
        <v>福岡県北九州市</v>
      </c>
      <c r="AD447" s="884">
        <v>10.210000000000001</v>
      </c>
      <c r="AE447" s="865">
        <v>10.17</v>
      </c>
      <c r="AF447" s="875">
        <v>10.14</v>
      </c>
      <c r="AG447" s="44"/>
    </row>
    <row r="448" spans="22:33">
      <c r="V448" s="830" t="s">
        <v>719</v>
      </c>
      <c r="W448" s="830" t="s">
        <v>1729</v>
      </c>
      <c r="X448" s="128"/>
      <c r="Y448" s="843" t="s">
        <v>1614</v>
      </c>
      <c r="Z448" s="849">
        <v>3.e-002</v>
      </c>
      <c r="AA448" s="860" t="s">
        <v>1264</v>
      </c>
      <c r="AB448" s="865" t="s">
        <v>1939</v>
      </c>
      <c r="AC448" s="872" t="str">
        <f t="shared" si="7"/>
        <v>福岡県飯塚市</v>
      </c>
      <c r="AD448" s="884">
        <v>10.210000000000001</v>
      </c>
      <c r="AE448" s="865">
        <v>10.17</v>
      </c>
      <c r="AF448" s="875">
        <v>10.14</v>
      </c>
      <c r="AG448" s="44"/>
    </row>
    <row r="449" spans="22:33">
      <c r="V449" s="830" t="s">
        <v>719</v>
      </c>
      <c r="W449" s="830" t="s">
        <v>1717</v>
      </c>
      <c r="X449" s="128"/>
      <c r="Y449" s="843" t="s">
        <v>1614</v>
      </c>
      <c r="Z449" s="849">
        <v>3.e-002</v>
      </c>
      <c r="AA449" s="860" t="s">
        <v>1264</v>
      </c>
      <c r="AB449" s="865" t="s">
        <v>652</v>
      </c>
      <c r="AC449" s="872" t="str">
        <f t="shared" si="7"/>
        <v>福岡県筑紫野市</v>
      </c>
      <c r="AD449" s="884">
        <v>10.210000000000001</v>
      </c>
      <c r="AE449" s="865">
        <v>10.17</v>
      </c>
      <c r="AF449" s="875">
        <v>10.14</v>
      </c>
      <c r="AG449" s="44"/>
    </row>
    <row r="450" spans="22:33">
      <c r="V450" s="830" t="s">
        <v>719</v>
      </c>
      <c r="W450" s="830" t="s">
        <v>1940</v>
      </c>
      <c r="X450" s="128"/>
      <c r="Y450" s="843" t="s">
        <v>1614</v>
      </c>
      <c r="Z450" s="849">
        <v>3.e-002</v>
      </c>
      <c r="AA450" s="860" t="s">
        <v>1264</v>
      </c>
      <c r="AB450" s="865" t="s">
        <v>1942</v>
      </c>
      <c r="AC450" s="872" t="str">
        <f t="shared" si="7"/>
        <v>福岡県古賀市</v>
      </c>
      <c r="AD450" s="884">
        <v>10.210000000000001</v>
      </c>
      <c r="AE450" s="865">
        <v>10.17</v>
      </c>
      <c r="AF450" s="875">
        <v>10.14</v>
      </c>
      <c r="AG450" s="44"/>
    </row>
    <row r="451" spans="22:33" ht="14.25">
      <c r="V451" s="830" t="s">
        <v>719</v>
      </c>
      <c r="W451" s="830" t="s">
        <v>192</v>
      </c>
      <c r="X451" s="128"/>
      <c r="Y451" s="844" t="s">
        <v>1614</v>
      </c>
      <c r="Z451" s="850">
        <v>3.e-002</v>
      </c>
      <c r="AA451" s="861" t="s">
        <v>128</v>
      </c>
      <c r="AB451" s="866" t="s">
        <v>1943</v>
      </c>
      <c r="AC451" s="873" t="str">
        <f>AA451&amp;AB451</f>
        <v>長崎県長崎市</v>
      </c>
      <c r="AD451" s="885">
        <v>10.210000000000001</v>
      </c>
      <c r="AE451" s="866">
        <v>10.17</v>
      </c>
      <c r="AF451" s="878">
        <v>10.14</v>
      </c>
      <c r="AG451" s="44"/>
    </row>
    <row r="452" spans="22:33" ht="14.25">
      <c r="V452" s="830" t="s">
        <v>719</v>
      </c>
      <c r="W452" s="830" t="s">
        <v>1944</v>
      </c>
      <c r="X452" s="128"/>
      <c r="Y452" s="841" t="s">
        <v>1945</v>
      </c>
      <c r="Z452" s="853">
        <v>0</v>
      </c>
      <c r="AA452" s="862"/>
      <c r="AB452" s="869"/>
      <c r="AC452" s="870" t="str">
        <f>AA452&amp;AB452</f>
        <v/>
      </c>
      <c r="AD452" s="841" t="str">
        <f>AA452&amp;AB452</f>
        <v/>
      </c>
      <c r="AE452" s="892"/>
      <c r="AF452" s="897"/>
      <c r="AG452" s="44"/>
    </row>
    <row r="453" spans="22:33">
      <c r="V453" s="830" t="s">
        <v>719</v>
      </c>
      <c r="W453" s="830" t="s">
        <v>1732</v>
      </c>
      <c r="X453" s="128"/>
      <c r="Z453" s="44"/>
      <c r="AA453" s="44"/>
      <c r="AB453" s="44"/>
      <c r="AD453" s="44"/>
      <c r="AE453" s="758"/>
      <c r="AF453" s="758"/>
      <c r="AG453" s="44"/>
    </row>
    <row r="454" spans="22:33">
      <c r="V454" s="830" t="s">
        <v>719</v>
      </c>
      <c r="W454" s="830" t="s">
        <v>994</v>
      </c>
      <c r="X454" s="128"/>
      <c r="Z454" s="44"/>
      <c r="AA454" s="44"/>
      <c r="AB454" s="44"/>
      <c r="AD454" s="44"/>
      <c r="AE454" s="758"/>
      <c r="AF454" s="758"/>
      <c r="AG454" s="44"/>
    </row>
    <row r="455" spans="22:33">
      <c r="V455" s="830" t="s">
        <v>719</v>
      </c>
      <c r="W455" s="830" t="s">
        <v>1394</v>
      </c>
      <c r="X455" s="128"/>
      <c r="Z455" s="44"/>
      <c r="AA455" s="44"/>
      <c r="AB455" s="44"/>
      <c r="AD455" s="44"/>
      <c r="AE455" s="758"/>
      <c r="AF455" s="758"/>
      <c r="AG455" s="44"/>
    </row>
    <row r="456" spans="22:33">
      <c r="V456" s="830" t="s">
        <v>719</v>
      </c>
      <c r="W456" s="830" t="s">
        <v>1735</v>
      </c>
      <c r="X456" s="128"/>
      <c r="Z456" s="44"/>
      <c r="AA456" s="44"/>
      <c r="AB456" s="44"/>
      <c r="AD456" s="44"/>
      <c r="AE456" s="758"/>
      <c r="AF456" s="758"/>
      <c r="AG456" s="44"/>
    </row>
    <row r="457" spans="22:33">
      <c r="V457" s="830" t="s">
        <v>719</v>
      </c>
      <c r="W457" s="830" t="s">
        <v>1738</v>
      </c>
      <c r="X457" s="128"/>
      <c r="Z457" s="44"/>
      <c r="AA457" s="44"/>
      <c r="AB457" s="44"/>
      <c r="AD457" s="44"/>
      <c r="AE457" s="758"/>
      <c r="AF457" s="758"/>
      <c r="AG457" s="44"/>
    </row>
    <row r="458" spans="22:33">
      <c r="V458" s="830" t="s">
        <v>719</v>
      </c>
      <c r="W458" s="830" t="s">
        <v>1497</v>
      </c>
      <c r="X458" s="128"/>
      <c r="Z458" s="44"/>
      <c r="AA458" s="44"/>
      <c r="AB458" s="44"/>
      <c r="AD458" s="44"/>
      <c r="AE458" s="758"/>
      <c r="AF458" s="758"/>
      <c r="AG458" s="44"/>
    </row>
    <row r="459" spans="22:33">
      <c r="V459" s="830" t="s">
        <v>661</v>
      </c>
      <c r="W459" s="830" t="s">
        <v>1500</v>
      </c>
      <c r="X459" s="128"/>
      <c r="Z459" s="44"/>
      <c r="AA459" s="44"/>
      <c r="AB459" s="44"/>
      <c r="AD459" s="44"/>
      <c r="AE459" s="758"/>
      <c r="AF459" s="758"/>
      <c r="AG459" s="44"/>
    </row>
    <row r="460" spans="22:33">
      <c r="V460" s="830" t="s">
        <v>661</v>
      </c>
      <c r="W460" s="830" t="s">
        <v>1946</v>
      </c>
      <c r="X460" s="128"/>
      <c r="Z460" s="44"/>
      <c r="AA460" s="44"/>
      <c r="AB460" s="44"/>
      <c r="AD460" s="44"/>
      <c r="AE460" s="758"/>
      <c r="AF460" s="758"/>
      <c r="AG460" s="44"/>
    </row>
    <row r="461" spans="22:33">
      <c r="V461" s="830" t="s">
        <v>661</v>
      </c>
      <c r="W461" s="830" t="s">
        <v>780</v>
      </c>
      <c r="X461" s="128"/>
      <c r="Z461" s="44"/>
      <c r="AA461" s="44"/>
      <c r="AB461" s="44"/>
      <c r="AD461" s="44"/>
      <c r="AE461" s="758"/>
      <c r="AF461" s="758"/>
      <c r="AG461" s="44"/>
    </row>
    <row r="462" spans="22:33">
      <c r="V462" s="830" t="s">
        <v>661</v>
      </c>
      <c r="W462" s="830" t="s">
        <v>939</v>
      </c>
      <c r="X462" s="128"/>
      <c r="Z462" s="44"/>
      <c r="AA462" s="44"/>
      <c r="AB462" s="44"/>
      <c r="AD462" s="44"/>
      <c r="AE462" s="758"/>
      <c r="AF462" s="758"/>
      <c r="AG462" s="44"/>
    </row>
    <row r="463" spans="22:33">
      <c r="V463" s="830" t="s">
        <v>661</v>
      </c>
      <c r="W463" s="830" t="s">
        <v>1739</v>
      </c>
      <c r="X463" s="128"/>
      <c r="Z463" s="44"/>
      <c r="AA463" s="44"/>
      <c r="AB463" s="44"/>
      <c r="AD463" s="44"/>
      <c r="AE463" s="758"/>
      <c r="AF463" s="758"/>
      <c r="AG463" s="44"/>
    </row>
    <row r="464" spans="22:33">
      <c r="V464" s="830" t="s">
        <v>661</v>
      </c>
      <c r="W464" s="830" t="s">
        <v>1741</v>
      </c>
      <c r="X464" s="128"/>
      <c r="Z464" s="44"/>
      <c r="AA464" s="44"/>
      <c r="AB464" s="44"/>
      <c r="AD464" s="44"/>
      <c r="AE464" s="758"/>
      <c r="AF464" s="758"/>
      <c r="AG464" s="44"/>
    </row>
    <row r="465" spans="22:33">
      <c r="V465" s="830" t="s">
        <v>661</v>
      </c>
      <c r="W465" s="830" t="s">
        <v>1742</v>
      </c>
      <c r="AG465" s="44"/>
    </row>
    <row r="466" spans="22:33">
      <c r="V466" s="830" t="s">
        <v>661</v>
      </c>
      <c r="W466" s="830" t="s">
        <v>761</v>
      </c>
      <c r="AG466" s="44"/>
    </row>
    <row r="467" spans="22:33">
      <c r="V467" s="830" t="s">
        <v>661</v>
      </c>
      <c r="W467" s="830" t="s">
        <v>1746</v>
      </c>
      <c r="AG467" s="44"/>
    </row>
    <row r="468" spans="22:33">
      <c r="V468" s="830" t="s">
        <v>661</v>
      </c>
      <c r="W468" s="830" t="s">
        <v>1947</v>
      </c>
    </row>
    <row r="469" spans="22:33">
      <c r="V469" s="830" t="s">
        <v>661</v>
      </c>
      <c r="W469" s="830" t="s">
        <v>1948</v>
      </c>
    </row>
    <row r="470" spans="22:33">
      <c r="V470" s="830" t="s">
        <v>661</v>
      </c>
      <c r="W470" s="830" t="s">
        <v>1640</v>
      </c>
    </row>
    <row r="471" spans="22:33">
      <c r="V471" s="830" t="s">
        <v>661</v>
      </c>
      <c r="W471" s="830" t="s">
        <v>1736</v>
      </c>
    </row>
    <row r="472" spans="22:33">
      <c r="V472" s="830" t="s">
        <v>661</v>
      </c>
      <c r="W472" s="830" t="s">
        <v>1749</v>
      </c>
    </row>
    <row r="473" spans="22:33">
      <c r="V473" s="830" t="s">
        <v>661</v>
      </c>
      <c r="W473" s="830" t="s">
        <v>519</v>
      </c>
    </row>
    <row r="474" spans="22:33">
      <c r="V474" s="830" t="s">
        <v>661</v>
      </c>
      <c r="W474" s="830" t="s">
        <v>221</v>
      </c>
    </row>
    <row r="475" spans="22:33">
      <c r="V475" s="830" t="s">
        <v>661</v>
      </c>
      <c r="W475" s="830" t="s">
        <v>1949</v>
      </c>
    </row>
    <row r="476" spans="22:33">
      <c r="V476" s="830" t="s">
        <v>661</v>
      </c>
      <c r="W476" s="830" t="s">
        <v>1319</v>
      </c>
    </row>
    <row r="477" spans="22:33">
      <c r="V477" s="830" t="s">
        <v>661</v>
      </c>
      <c r="W477" s="830" t="s">
        <v>707</v>
      </c>
    </row>
    <row r="478" spans="22:33">
      <c r="V478" s="830" t="s">
        <v>661</v>
      </c>
      <c r="W478" s="830" t="s">
        <v>1751</v>
      </c>
    </row>
    <row r="479" spans="22:33">
      <c r="V479" s="830" t="s">
        <v>661</v>
      </c>
      <c r="W479" s="830" t="s">
        <v>1237</v>
      </c>
    </row>
    <row r="480" spans="22:33">
      <c r="V480" s="830" t="s">
        <v>661</v>
      </c>
      <c r="W480" s="830" t="s">
        <v>480</v>
      </c>
    </row>
    <row r="481" spans="22:23">
      <c r="V481" s="830" t="s">
        <v>661</v>
      </c>
      <c r="W481" s="830" t="s">
        <v>117</v>
      </c>
    </row>
    <row r="482" spans="22:23">
      <c r="V482" s="830" t="s">
        <v>661</v>
      </c>
      <c r="W482" s="830" t="s">
        <v>1659</v>
      </c>
    </row>
    <row r="483" spans="22:23">
      <c r="V483" s="830" t="s">
        <v>661</v>
      </c>
      <c r="W483" s="830" t="s">
        <v>1950</v>
      </c>
    </row>
    <row r="484" spans="22:23">
      <c r="V484" s="830" t="s">
        <v>969</v>
      </c>
      <c r="W484" s="830" t="s">
        <v>173</v>
      </c>
    </row>
    <row r="485" spans="22:23">
      <c r="V485" s="830" t="s">
        <v>969</v>
      </c>
      <c r="W485" s="830" t="s">
        <v>1246</v>
      </c>
    </row>
    <row r="486" spans="22:23">
      <c r="V486" s="830" t="s">
        <v>969</v>
      </c>
      <c r="W486" s="830" t="s">
        <v>1951</v>
      </c>
    </row>
    <row r="487" spans="22:23">
      <c r="V487" s="830" t="s">
        <v>969</v>
      </c>
      <c r="W487" s="830" t="s">
        <v>1756</v>
      </c>
    </row>
    <row r="488" spans="22:23">
      <c r="V488" s="830" t="s">
        <v>969</v>
      </c>
      <c r="W488" s="830" t="s">
        <v>1758</v>
      </c>
    </row>
    <row r="489" spans="22:23">
      <c r="V489" s="830" t="s">
        <v>969</v>
      </c>
      <c r="W489" s="830" t="s">
        <v>114</v>
      </c>
    </row>
    <row r="490" spans="22:23">
      <c r="V490" s="830" t="s">
        <v>969</v>
      </c>
      <c r="W490" s="830" t="s">
        <v>1952</v>
      </c>
    </row>
    <row r="491" spans="22:23">
      <c r="V491" s="830" t="s">
        <v>969</v>
      </c>
      <c r="W491" s="830" t="s">
        <v>1760</v>
      </c>
    </row>
    <row r="492" spans="22:23">
      <c r="V492" s="830" t="s">
        <v>969</v>
      </c>
      <c r="W492" s="830" t="s">
        <v>1954</v>
      </c>
    </row>
    <row r="493" spans="22:23">
      <c r="V493" s="830" t="s">
        <v>969</v>
      </c>
      <c r="W493" s="830" t="s">
        <v>469</v>
      </c>
    </row>
    <row r="494" spans="22:23">
      <c r="V494" s="830" t="s">
        <v>969</v>
      </c>
      <c r="W494" s="830" t="s">
        <v>1956</v>
      </c>
    </row>
    <row r="495" spans="22:23">
      <c r="V495" s="830" t="s">
        <v>969</v>
      </c>
      <c r="W495" s="830" t="s">
        <v>1957</v>
      </c>
    </row>
    <row r="496" spans="22:23">
      <c r="V496" s="830" t="s">
        <v>969</v>
      </c>
      <c r="W496" s="830" t="s">
        <v>1959</v>
      </c>
    </row>
    <row r="497" spans="22:23">
      <c r="V497" s="830" t="s">
        <v>969</v>
      </c>
      <c r="W497" s="830" t="s">
        <v>1961</v>
      </c>
    </row>
    <row r="498" spans="22:23">
      <c r="V498" s="830" t="s">
        <v>969</v>
      </c>
      <c r="W498" s="830" t="s">
        <v>1965</v>
      </c>
    </row>
    <row r="499" spans="22:23">
      <c r="V499" s="830" t="s">
        <v>969</v>
      </c>
      <c r="W499" s="830" t="s">
        <v>594</v>
      </c>
    </row>
    <row r="500" spans="22:23">
      <c r="V500" s="830" t="s">
        <v>969</v>
      </c>
      <c r="W500" s="830" t="s">
        <v>644</v>
      </c>
    </row>
    <row r="501" spans="22:23">
      <c r="V501" s="830" t="s">
        <v>969</v>
      </c>
      <c r="W501" s="830" t="s">
        <v>1966</v>
      </c>
    </row>
    <row r="502" spans="22:23">
      <c r="V502" s="830" t="s">
        <v>969</v>
      </c>
      <c r="W502" s="830" t="s">
        <v>870</v>
      </c>
    </row>
    <row r="503" spans="22:23">
      <c r="V503" s="830" t="s">
        <v>969</v>
      </c>
      <c r="W503" s="830" t="s">
        <v>1410</v>
      </c>
    </row>
    <row r="504" spans="22:23">
      <c r="V504" s="830" t="s">
        <v>969</v>
      </c>
      <c r="W504" s="830" t="s">
        <v>1967</v>
      </c>
    </row>
    <row r="505" spans="22:23">
      <c r="V505" s="830" t="s">
        <v>969</v>
      </c>
      <c r="W505" s="830" t="s">
        <v>1060</v>
      </c>
    </row>
    <row r="506" spans="22:23">
      <c r="V506" s="830" t="s">
        <v>969</v>
      </c>
      <c r="W506" s="830" t="s">
        <v>1510</v>
      </c>
    </row>
    <row r="507" spans="22:23">
      <c r="V507" s="830" t="s">
        <v>969</v>
      </c>
      <c r="W507" s="830" t="s">
        <v>369</v>
      </c>
    </row>
    <row r="508" spans="22:23">
      <c r="V508" s="830" t="s">
        <v>969</v>
      </c>
      <c r="W508" s="830" t="s">
        <v>1969</v>
      </c>
    </row>
    <row r="509" spans="22:23">
      <c r="V509" s="830" t="s">
        <v>969</v>
      </c>
      <c r="W509" s="830" t="s">
        <v>568</v>
      </c>
    </row>
    <row r="510" spans="22:23">
      <c r="V510" s="830" t="s">
        <v>969</v>
      </c>
      <c r="W510" s="830" t="s">
        <v>980</v>
      </c>
    </row>
    <row r="511" spans="22:23">
      <c r="V511" s="830" t="s">
        <v>969</v>
      </c>
      <c r="W511" s="830" t="s">
        <v>1868</v>
      </c>
    </row>
    <row r="512" spans="22:23">
      <c r="V512" s="830" t="s">
        <v>969</v>
      </c>
      <c r="W512" s="830" t="s">
        <v>1970</v>
      </c>
    </row>
    <row r="513" spans="22:23">
      <c r="V513" s="830" t="s">
        <v>969</v>
      </c>
      <c r="W513" s="830" t="s">
        <v>726</v>
      </c>
    </row>
    <row r="514" spans="22:23">
      <c r="V514" s="830" t="s">
        <v>969</v>
      </c>
      <c r="W514" s="830" t="s">
        <v>277</v>
      </c>
    </row>
    <row r="515" spans="22:23">
      <c r="V515" s="830" t="s">
        <v>969</v>
      </c>
      <c r="W515" s="830" t="s">
        <v>400</v>
      </c>
    </row>
    <row r="516" spans="22:23">
      <c r="V516" s="830" t="s">
        <v>969</v>
      </c>
      <c r="W516" s="830" t="s">
        <v>1971</v>
      </c>
    </row>
    <row r="517" spans="22:23">
      <c r="V517" s="830" t="s">
        <v>969</v>
      </c>
      <c r="W517" s="830" t="s">
        <v>1972</v>
      </c>
    </row>
    <row r="518" spans="22:23">
      <c r="V518" s="830" t="s">
        <v>969</v>
      </c>
      <c r="W518" s="830" t="s">
        <v>1975</v>
      </c>
    </row>
    <row r="519" spans="22:23">
      <c r="V519" s="830" t="s">
        <v>986</v>
      </c>
      <c r="W519" s="830" t="s">
        <v>1138</v>
      </c>
    </row>
    <row r="520" spans="22:23">
      <c r="V520" s="830" t="s">
        <v>986</v>
      </c>
      <c r="W520" s="830" t="s">
        <v>1508</v>
      </c>
    </row>
    <row r="521" spans="22:23">
      <c r="V521" s="830" t="s">
        <v>986</v>
      </c>
      <c r="W521" s="830" t="s">
        <v>1763</v>
      </c>
    </row>
    <row r="522" spans="22:23">
      <c r="V522" s="830" t="s">
        <v>986</v>
      </c>
      <c r="W522" s="830" t="s">
        <v>1405</v>
      </c>
    </row>
    <row r="523" spans="22:23">
      <c r="V523" s="830" t="s">
        <v>986</v>
      </c>
      <c r="W523" s="830" t="s">
        <v>1172</v>
      </c>
    </row>
    <row r="524" spans="22:23">
      <c r="V524" s="830" t="s">
        <v>986</v>
      </c>
      <c r="W524" s="830" t="s">
        <v>1875</v>
      </c>
    </row>
    <row r="525" spans="22:23">
      <c r="V525" s="830" t="s">
        <v>986</v>
      </c>
      <c r="W525" s="830" t="s">
        <v>1509</v>
      </c>
    </row>
    <row r="526" spans="22:23">
      <c r="V526" s="830" t="s">
        <v>986</v>
      </c>
      <c r="W526" s="830" t="s">
        <v>1976</v>
      </c>
    </row>
    <row r="527" spans="22:23">
      <c r="V527" s="830" t="s">
        <v>986</v>
      </c>
      <c r="W527" s="830" t="s">
        <v>1513</v>
      </c>
    </row>
    <row r="528" spans="22:23">
      <c r="V528" s="830" t="s">
        <v>986</v>
      </c>
      <c r="W528" s="830" t="s">
        <v>263</v>
      </c>
    </row>
    <row r="529" spans="22:23">
      <c r="V529" s="830" t="s">
        <v>986</v>
      </c>
      <c r="W529" s="830" t="s">
        <v>344</v>
      </c>
    </row>
    <row r="530" spans="22:23">
      <c r="V530" s="830" t="s">
        <v>986</v>
      </c>
      <c r="W530" s="830" t="s">
        <v>1515</v>
      </c>
    </row>
    <row r="531" spans="22:23">
      <c r="V531" s="830" t="s">
        <v>986</v>
      </c>
      <c r="W531" s="830" t="s">
        <v>1245</v>
      </c>
    </row>
    <row r="532" spans="22:23">
      <c r="V532" s="830" t="s">
        <v>986</v>
      </c>
      <c r="W532" s="830" t="s">
        <v>630</v>
      </c>
    </row>
    <row r="533" spans="22:23">
      <c r="V533" s="830" t="s">
        <v>986</v>
      </c>
      <c r="W533" s="830" t="s">
        <v>107</v>
      </c>
    </row>
    <row r="534" spans="22:23">
      <c r="V534" s="830" t="s">
        <v>986</v>
      </c>
      <c r="W534" s="830" t="s">
        <v>1344</v>
      </c>
    </row>
    <row r="535" spans="22:23">
      <c r="V535" s="830" t="s">
        <v>986</v>
      </c>
      <c r="W535" s="830" t="s">
        <v>1004</v>
      </c>
    </row>
    <row r="536" spans="22:23">
      <c r="V536" s="830" t="s">
        <v>986</v>
      </c>
      <c r="W536" s="830" t="s">
        <v>1411</v>
      </c>
    </row>
    <row r="537" spans="22:23">
      <c r="V537" s="830" t="s">
        <v>986</v>
      </c>
      <c r="W537" s="830" t="s">
        <v>923</v>
      </c>
    </row>
    <row r="538" spans="22:23">
      <c r="V538" s="830" t="s">
        <v>986</v>
      </c>
      <c r="W538" s="830" t="s">
        <v>258</v>
      </c>
    </row>
    <row r="539" spans="22:23">
      <c r="V539" s="830" t="s">
        <v>986</v>
      </c>
      <c r="W539" s="830" t="s">
        <v>993</v>
      </c>
    </row>
    <row r="540" spans="22:23">
      <c r="V540" s="830" t="s">
        <v>986</v>
      </c>
      <c r="W540" s="830" t="s">
        <v>137</v>
      </c>
    </row>
    <row r="541" spans="22:23">
      <c r="V541" s="830" t="s">
        <v>986</v>
      </c>
      <c r="W541" s="830" t="s">
        <v>1327</v>
      </c>
    </row>
    <row r="542" spans="22:23">
      <c r="V542" s="830" t="s">
        <v>986</v>
      </c>
      <c r="W542" s="830" t="s">
        <v>1292</v>
      </c>
    </row>
    <row r="543" spans="22:23">
      <c r="V543" s="830" t="s">
        <v>986</v>
      </c>
      <c r="W543" s="830" t="s">
        <v>1977</v>
      </c>
    </row>
    <row r="544" spans="22:23">
      <c r="V544" s="830" t="s">
        <v>986</v>
      </c>
      <c r="W544" s="830" t="s">
        <v>596</v>
      </c>
    </row>
    <row r="545" spans="22:23">
      <c r="V545" s="830" t="s">
        <v>986</v>
      </c>
      <c r="W545" s="830" t="s">
        <v>598</v>
      </c>
    </row>
    <row r="546" spans="22:23">
      <c r="V546" s="830" t="s">
        <v>986</v>
      </c>
      <c r="W546" s="830" t="s">
        <v>1521</v>
      </c>
    </row>
    <row r="547" spans="22:23">
      <c r="V547" s="830" t="s">
        <v>986</v>
      </c>
      <c r="W547" s="830" t="s">
        <v>1452</v>
      </c>
    </row>
    <row r="548" spans="22:23">
      <c r="V548" s="830" t="s">
        <v>986</v>
      </c>
      <c r="W548" s="830" t="s">
        <v>67</v>
      </c>
    </row>
    <row r="549" spans="22:23">
      <c r="V549" s="830" t="s">
        <v>986</v>
      </c>
      <c r="W549" s="830" t="s">
        <v>196</v>
      </c>
    </row>
    <row r="550" spans="22:23">
      <c r="V550" s="830" t="s">
        <v>986</v>
      </c>
      <c r="W550" s="830" t="s">
        <v>1525</v>
      </c>
    </row>
    <row r="551" spans="22:23">
      <c r="V551" s="830" t="s">
        <v>986</v>
      </c>
      <c r="W551" s="830" t="s">
        <v>593</v>
      </c>
    </row>
    <row r="552" spans="22:23">
      <c r="V552" s="830" t="s">
        <v>986</v>
      </c>
      <c r="W552" s="830" t="s">
        <v>629</v>
      </c>
    </row>
    <row r="553" spans="22:23">
      <c r="V553" s="830" t="s">
        <v>986</v>
      </c>
      <c r="W553" s="830" t="s">
        <v>1421</v>
      </c>
    </row>
    <row r="554" spans="22:23">
      <c r="V554" s="830" t="s">
        <v>986</v>
      </c>
      <c r="W554" s="830" t="s">
        <v>1527</v>
      </c>
    </row>
    <row r="555" spans="22:23">
      <c r="V555" s="830" t="s">
        <v>986</v>
      </c>
      <c r="W555" s="830" t="s">
        <v>1766</v>
      </c>
    </row>
    <row r="556" spans="22:23">
      <c r="V556" s="830" t="s">
        <v>986</v>
      </c>
      <c r="W556" s="830" t="s">
        <v>1261</v>
      </c>
    </row>
    <row r="557" spans="22:23">
      <c r="V557" s="830" t="s">
        <v>986</v>
      </c>
      <c r="W557" s="830" t="s">
        <v>261</v>
      </c>
    </row>
    <row r="558" spans="22:23">
      <c r="V558" s="830" t="s">
        <v>986</v>
      </c>
      <c r="W558" s="830" t="s">
        <v>1530</v>
      </c>
    </row>
    <row r="559" spans="22:23">
      <c r="V559" s="830" t="s">
        <v>986</v>
      </c>
      <c r="W559" s="830" t="s">
        <v>1534</v>
      </c>
    </row>
    <row r="560" spans="22:23">
      <c r="V560" s="830" t="s">
        <v>986</v>
      </c>
      <c r="W560" s="830" t="s">
        <v>1535</v>
      </c>
    </row>
    <row r="561" spans="22:23">
      <c r="V561" s="830" t="s">
        <v>986</v>
      </c>
      <c r="W561" s="830" t="s">
        <v>1271</v>
      </c>
    </row>
    <row r="562" spans="22:23">
      <c r="V562" s="830" t="s">
        <v>986</v>
      </c>
      <c r="W562" s="830" t="s">
        <v>1767</v>
      </c>
    </row>
    <row r="563" spans="22:23">
      <c r="V563" s="830" t="s">
        <v>986</v>
      </c>
      <c r="W563" s="830" t="s">
        <v>1769</v>
      </c>
    </row>
    <row r="564" spans="22:23">
      <c r="V564" s="830" t="s">
        <v>986</v>
      </c>
      <c r="W564" s="830" t="s">
        <v>1979</v>
      </c>
    </row>
    <row r="565" spans="22:23">
      <c r="V565" s="830" t="s">
        <v>986</v>
      </c>
      <c r="W565" s="830" t="s">
        <v>90</v>
      </c>
    </row>
    <row r="566" spans="22:23">
      <c r="V566" s="830" t="s">
        <v>986</v>
      </c>
      <c r="W566" s="830" t="s">
        <v>1771</v>
      </c>
    </row>
    <row r="567" spans="22:23">
      <c r="V567" s="830" t="s">
        <v>986</v>
      </c>
      <c r="W567" s="830" t="s">
        <v>1531</v>
      </c>
    </row>
    <row r="568" spans="22:23">
      <c r="V568" s="830" t="s">
        <v>986</v>
      </c>
      <c r="W568" s="830" t="s">
        <v>1772</v>
      </c>
    </row>
    <row r="569" spans="22:23">
      <c r="V569" s="830" t="s">
        <v>986</v>
      </c>
      <c r="W569" s="830" t="s">
        <v>1250</v>
      </c>
    </row>
    <row r="570" spans="22:23">
      <c r="V570" s="830" t="s">
        <v>986</v>
      </c>
      <c r="W570" s="830" t="s">
        <v>282</v>
      </c>
    </row>
    <row r="571" spans="22:23">
      <c r="V571" s="830" t="s">
        <v>986</v>
      </c>
      <c r="W571" s="830" t="s">
        <v>7</v>
      </c>
    </row>
    <row r="572" spans="22:23">
      <c r="V572" s="830" t="s">
        <v>986</v>
      </c>
      <c r="W572" s="830" t="s">
        <v>940</v>
      </c>
    </row>
    <row r="573" spans="22:23">
      <c r="V573" s="830" t="s">
        <v>986</v>
      </c>
      <c r="W573" s="830" t="s">
        <v>1981</v>
      </c>
    </row>
    <row r="574" spans="22:23">
      <c r="V574" s="830" t="s">
        <v>986</v>
      </c>
      <c r="W574" s="830" t="s">
        <v>1982</v>
      </c>
    </row>
    <row r="575" spans="22:23">
      <c r="V575" s="830" t="s">
        <v>986</v>
      </c>
      <c r="W575" s="830" t="s">
        <v>427</v>
      </c>
    </row>
    <row r="576" spans="22:23">
      <c r="V576" s="830" t="s">
        <v>986</v>
      </c>
      <c r="W576" s="830" t="s">
        <v>1983</v>
      </c>
    </row>
    <row r="577" spans="22:23">
      <c r="V577" s="830" t="s">
        <v>986</v>
      </c>
      <c r="W577" s="830" t="s">
        <v>1984</v>
      </c>
    </row>
    <row r="578" spans="22:23">
      <c r="V578" s="830" t="s">
        <v>986</v>
      </c>
      <c r="W578" s="830" t="s">
        <v>1773</v>
      </c>
    </row>
    <row r="579" spans="22:23">
      <c r="V579" s="830" t="s">
        <v>986</v>
      </c>
      <c r="W579" s="830" t="s">
        <v>111</v>
      </c>
    </row>
    <row r="580" spans="22:23">
      <c r="V580" s="830" t="s">
        <v>986</v>
      </c>
      <c r="W580" s="830" t="s">
        <v>1536</v>
      </c>
    </row>
    <row r="581" spans="22:23">
      <c r="V581" s="830" t="s">
        <v>986</v>
      </c>
      <c r="W581" s="830" t="s">
        <v>205</v>
      </c>
    </row>
    <row r="582" spans="22:23">
      <c r="V582" s="830" t="s">
        <v>96</v>
      </c>
      <c r="W582" s="830" t="s">
        <v>308</v>
      </c>
    </row>
    <row r="583" spans="22:23">
      <c r="V583" s="830" t="s">
        <v>96</v>
      </c>
      <c r="W583" s="830" t="s">
        <v>1985</v>
      </c>
    </row>
    <row r="584" spans="22:23">
      <c r="V584" s="830" t="s">
        <v>96</v>
      </c>
      <c r="W584" s="830" t="s">
        <v>724</v>
      </c>
    </row>
    <row r="585" spans="22:23">
      <c r="V585" s="830" t="s">
        <v>96</v>
      </c>
      <c r="W585" s="830" t="s">
        <v>802</v>
      </c>
    </row>
    <row r="586" spans="22:23">
      <c r="V586" s="830" t="s">
        <v>96</v>
      </c>
      <c r="W586" s="830" t="s">
        <v>1355</v>
      </c>
    </row>
    <row r="587" spans="22:23">
      <c r="V587" s="830" t="s">
        <v>96</v>
      </c>
      <c r="W587" s="830" t="s">
        <v>837</v>
      </c>
    </row>
    <row r="588" spans="22:23">
      <c r="V588" s="830" t="s">
        <v>96</v>
      </c>
      <c r="W588" s="830" t="s">
        <v>1415</v>
      </c>
    </row>
    <row r="589" spans="22:23">
      <c r="V589" s="830" t="s">
        <v>96</v>
      </c>
      <c r="W589" s="830" t="s">
        <v>1360</v>
      </c>
    </row>
    <row r="590" spans="22:23">
      <c r="V590" s="830" t="s">
        <v>96</v>
      </c>
      <c r="W590" s="830" t="s">
        <v>1190</v>
      </c>
    </row>
    <row r="591" spans="22:23">
      <c r="V591" s="830" t="s">
        <v>96</v>
      </c>
      <c r="W591" s="830" t="s">
        <v>317</v>
      </c>
    </row>
    <row r="592" spans="22:23">
      <c r="V592" s="830" t="s">
        <v>96</v>
      </c>
      <c r="W592" s="830" t="s">
        <v>81</v>
      </c>
    </row>
    <row r="593" spans="22:23">
      <c r="V593" s="830" t="s">
        <v>96</v>
      </c>
      <c r="W593" s="830" t="s">
        <v>1776</v>
      </c>
    </row>
    <row r="594" spans="22:23">
      <c r="V594" s="830" t="s">
        <v>96</v>
      </c>
      <c r="W594" s="830" t="s">
        <v>1986</v>
      </c>
    </row>
    <row r="595" spans="22:23">
      <c r="V595" s="830" t="s">
        <v>96</v>
      </c>
      <c r="W595" s="830" t="s">
        <v>1362</v>
      </c>
    </row>
    <row r="596" spans="22:23">
      <c r="V596" s="830" t="s">
        <v>96</v>
      </c>
      <c r="W596" s="830" t="s">
        <v>1538</v>
      </c>
    </row>
    <row r="597" spans="22:23">
      <c r="V597" s="830" t="s">
        <v>96</v>
      </c>
      <c r="W597" s="830" t="s">
        <v>1987</v>
      </c>
    </row>
    <row r="598" spans="22:23">
      <c r="V598" s="830" t="s">
        <v>96</v>
      </c>
      <c r="W598" s="830" t="s">
        <v>828</v>
      </c>
    </row>
    <row r="599" spans="22:23">
      <c r="V599" s="830" t="s">
        <v>96</v>
      </c>
      <c r="W599" s="830" t="s">
        <v>1539</v>
      </c>
    </row>
    <row r="600" spans="22:23">
      <c r="V600" s="830" t="s">
        <v>96</v>
      </c>
      <c r="W600" s="830" t="s">
        <v>1416</v>
      </c>
    </row>
    <row r="601" spans="22:23">
      <c r="V601" s="830" t="s">
        <v>96</v>
      </c>
      <c r="W601" s="830" t="s">
        <v>1540</v>
      </c>
    </row>
    <row r="602" spans="22:23">
      <c r="V602" s="830" t="s">
        <v>96</v>
      </c>
      <c r="W602" s="830" t="s">
        <v>1989</v>
      </c>
    </row>
    <row r="603" spans="22:23">
      <c r="V603" s="830" t="s">
        <v>96</v>
      </c>
      <c r="W603" s="830" t="s">
        <v>714</v>
      </c>
    </row>
    <row r="604" spans="22:23">
      <c r="V604" s="830" t="s">
        <v>96</v>
      </c>
      <c r="W604" s="830" t="s">
        <v>1779</v>
      </c>
    </row>
    <row r="605" spans="22:23">
      <c r="V605" s="830" t="s">
        <v>96</v>
      </c>
      <c r="W605" s="830" t="s">
        <v>1782</v>
      </c>
    </row>
    <row r="606" spans="22:23">
      <c r="V606" s="830" t="s">
        <v>96</v>
      </c>
      <c r="W606" s="830" t="s">
        <v>1209</v>
      </c>
    </row>
    <row r="607" spans="22:23">
      <c r="V607" s="830" t="s">
        <v>96</v>
      </c>
      <c r="W607" s="830" t="s">
        <v>847</v>
      </c>
    </row>
    <row r="608" spans="22:23">
      <c r="V608" s="830" t="s">
        <v>96</v>
      </c>
      <c r="W608" s="830" t="s">
        <v>1422</v>
      </c>
    </row>
    <row r="609" spans="22:23">
      <c r="V609" s="830" t="s">
        <v>96</v>
      </c>
      <c r="W609" s="830" t="s">
        <v>65</v>
      </c>
    </row>
    <row r="610" spans="22:23">
      <c r="V610" s="830" t="s">
        <v>96</v>
      </c>
      <c r="W610" s="830" t="s">
        <v>383</v>
      </c>
    </row>
    <row r="611" spans="22:23">
      <c r="V611" s="830" t="s">
        <v>96</v>
      </c>
      <c r="W611" s="830" t="s">
        <v>425</v>
      </c>
    </row>
    <row r="612" spans="22:23">
      <c r="V612" s="830" t="s">
        <v>96</v>
      </c>
      <c r="W612" s="830" t="s">
        <v>1705</v>
      </c>
    </row>
    <row r="613" spans="22:23">
      <c r="V613" s="830" t="s">
        <v>96</v>
      </c>
      <c r="W613" s="830" t="s">
        <v>1990</v>
      </c>
    </row>
    <row r="614" spans="22:23">
      <c r="V614" s="830" t="s">
        <v>96</v>
      </c>
      <c r="W614" s="830" t="s">
        <v>1834</v>
      </c>
    </row>
    <row r="615" spans="22:23">
      <c r="V615" s="830" t="s">
        <v>96</v>
      </c>
      <c r="W615" s="830" t="s">
        <v>1991</v>
      </c>
    </row>
    <row r="616" spans="22:23">
      <c r="V616" s="830" t="s">
        <v>96</v>
      </c>
      <c r="W616" s="830" t="s">
        <v>1790</v>
      </c>
    </row>
    <row r="617" spans="22:23">
      <c r="V617" s="830" t="s">
        <v>96</v>
      </c>
      <c r="W617" s="830" t="s">
        <v>1992</v>
      </c>
    </row>
    <row r="618" spans="22:23">
      <c r="V618" s="830" t="s">
        <v>96</v>
      </c>
      <c r="W618" s="830" t="s">
        <v>774</v>
      </c>
    </row>
    <row r="619" spans="22:23">
      <c r="V619" s="830" t="s">
        <v>96</v>
      </c>
      <c r="W619" s="830" t="s">
        <v>1547</v>
      </c>
    </row>
    <row r="620" spans="22:23">
      <c r="V620" s="830" t="s">
        <v>96</v>
      </c>
      <c r="W620" s="830" t="s">
        <v>785</v>
      </c>
    </row>
    <row r="621" spans="22:23">
      <c r="V621" s="830" t="s">
        <v>96</v>
      </c>
      <c r="W621" s="830" t="s">
        <v>1994</v>
      </c>
    </row>
    <row r="622" spans="22:23">
      <c r="V622" s="830" t="s">
        <v>96</v>
      </c>
      <c r="W622" s="830" t="s">
        <v>1996</v>
      </c>
    </row>
    <row r="623" spans="22:23">
      <c r="V623" s="830" t="s">
        <v>96</v>
      </c>
      <c r="W623" s="830" t="s">
        <v>1997</v>
      </c>
    </row>
    <row r="624" spans="22:23">
      <c r="V624" s="830" t="s">
        <v>96</v>
      </c>
      <c r="W624" s="830" t="s">
        <v>832</v>
      </c>
    </row>
    <row r="625" spans="22:23">
      <c r="V625" s="830" t="s">
        <v>96</v>
      </c>
      <c r="W625" s="830" t="s">
        <v>1836</v>
      </c>
    </row>
    <row r="626" spans="22:23">
      <c r="V626" s="830" t="s">
        <v>96</v>
      </c>
      <c r="W626" s="830" t="s">
        <v>1182</v>
      </c>
    </row>
    <row r="627" spans="22:23">
      <c r="V627" s="830" t="s">
        <v>96</v>
      </c>
      <c r="W627" s="830" t="s">
        <v>32</v>
      </c>
    </row>
    <row r="628" spans="22:23">
      <c r="V628" s="830" t="s">
        <v>96</v>
      </c>
      <c r="W628" s="830" t="s">
        <v>1627</v>
      </c>
    </row>
    <row r="629" spans="22:23">
      <c r="V629" s="830" t="s">
        <v>96</v>
      </c>
      <c r="W629" s="830" t="s">
        <v>1644</v>
      </c>
    </row>
    <row r="630" spans="22:23">
      <c r="V630" s="830" t="s">
        <v>96</v>
      </c>
      <c r="W630" s="830" t="s">
        <v>1999</v>
      </c>
    </row>
    <row r="631" spans="22:23">
      <c r="V631" s="830" t="s">
        <v>96</v>
      </c>
      <c r="W631" s="830" t="s">
        <v>1042</v>
      </c>
    </row>
    <row r="632" spans="22:23">
      <c r="V632" s="830" t="s">
        <v>96</v>
      </c>
      <c r="W632" s="830" t="s">
        <v>949</v>
      </c>
    </row>
    <row r="633" spans="22:23">
      <c r="V633" s="830" t="s">
        <v>96</v>
      </c>
      <c r="W633" s="830" t="s">
        <v>1603</v>
      </c>
    </row>
    <row r="634" spans="22:23">
      <c r="V634" s="830" t="s">
        <v>96</v>
      </c>
      <c r="W634" s="830" t="s">
        <v>2001</v>
      </c>
    </row>
    <row r="635" spans="22:23">
      <c r="V635" s="830" t="s">
        <v>96</v>
      </c>
      <c r="W635" s="830" t="s">
        <v>981</v>
      </c>
    </row>
    <row r="636" spans="22:23">
      <c r="V636" s="830" t="s">
        <v>385</v>
      </c>
      <c r="W636" s="830" t="s">
        <v>2002</v>
      </c>
    </row>
    <row r="637" spans="22:23">
      <c r="V637" s="830" t="s">
        <v>385</v>
      </c>
      <c r="W637" s="830" t="s">
        <v>2004</v>
      </c>
    </row>
    <row r="638" spans="22:23">
      <c r="V638" s="830" t="s">
        <v>385</v>
      </c>
      <c r="W638" s="830" t="s">
        <v>1096</v>
      </c>
    </row>
    <row r="639" spans="22:23">
      <c r="V639" s="830" t="s">
        <v>385</v>
      </c>
      <c r="W639" s="830" t="s">
        <v>1604</v>
      </c>
    </row>
    <row r="640" spans="22:23">
      <c r="V640" s="830" t="s">
        <v>385</v>
      </c>
      <c r="W640" s="830" t="s">
        <v>2006</v>
      </c>
    </row>
    <row r="641" spans="22:23">
      <c r="V641" s="830" t="s">
        <v>385</v>
      </c>
      <c r="W641" s="830" t="s">
        <v>2007</v>
      </c>
    </row>
    <row r="642" spans="22:23">
      <c r="V642" s="830" t="s">
        <v>385</v>
      </c>
      <c r="W642" s="830" t="s">
        <v>2008</v>
      </c>
    </row>
    <row r="643" spans="22:23">
      <c r="V643" s="830" t="s">
        <v>385</v>
      </c>
      <c r="W643" s="830" t="s">
        <v>1932</v>
      </c>
    </row>
    <row r="644" spans="22:23">
      <c r="V644" s="830" t="s">
        <v>385</v>
      </c>
      <c r="W644" s="830" t="s">
        <v>1980</v>
      </c>
    </row>
    <row r="645" spans="22:23">
      <c r="V645" s="830" t="s">
        <v>385</v>
      </c>
      <c r="W645" s="830" t="s">
        <v>2009</v>
      </c>
    </row>
    <row r="646" spans="22:23">
      <c r="V646" s="830" t="s">
        <v>385</v>
      </c>
      <c r="W646" s="830" t="s">
        <v>1955</v>
      </c>
    </row>
    <row r="647" spans="22:23">
      <c r="V647" s="830" t="s">
        <v>385</v>
      </c>
      <c r="W647" s="830" t="s">
        <v>2010</v>
      </c>
    </row>
    <row r="648" spans="22:23">
      <c r="V648" s="830" t="s">
        <v>385</v>
      </c>
      <c r="W648" s="830" t="s">
        <v>1559</v>
      </c>
    </row>
    <row r="649" spans="22:23">
      <c r="V649" s="830" t="s">
        <v>385</v>
      </c>
      <c r="W649" s="830" t="s">
        <v>1988</v>
      </c>
    </row>
    <row r="650" spans="22:23">
      <c r="V650" s="830" t="s">
        <v>385</v>
      </c>
      <c r="W650" s="830" t="s">
        <v>404</v>
      </c>
    </row>
    <row r="651" spans="22:23">
      <c r="V651" s="830" t="s">
        <v>385</v>
      </c>
      <c r="W651" s="830" t="s">
        <v>1457</v>
      </c>
    </row>
    <row r="652" spans="22:23">
      <c r="V652" s="830" t="s">
        <v>385</v>
      </c>
      <c r="W652" s="830" t="s">
        <v>1695</v>
      </c>
    </row>
    <row r="653" spans="22:23">
      <c r="V653" s="830" t="s">
        <v>385</v>
      </c>
      <c r="W653" s="830" t="s">
        <v>1541</v>
      </c>
    </row>
    <row r="654" spans="22:23">
      <c r="V654" s="830" t="s">
        <v>385</v>
      </c>
      <c r="W654" s="830" t="s">
        <v>1159</v>
      </c>
    </row>
    <row r="655" spans="22:23">
      <c r="V655" s="830" t="s">
        <v>385</v>
      </c>
      <c r="W655" s="830" t="s">
        <v>1399</v>
      </c>
    </row>
    <row r="656" spans="22:23">
      <c r="V656" s="830" t="s">
        <v>385</v>
      </c>
      <c r="W656" s="830" t="s">
        <v>985</v>
      </c>
    </row>
    <row r="657" spans="22:23">
      <c r="V657" s="830" t="s">
        <v>385</v>
      </c>
      <c r="W657" s="830" t="s">
        <v>2012</v>
      </c>
    </row>
    <row r="658" spans="22:23">
      <c r="V658" s="830" t="s">
        <v>385</v>
      </c>
      <c r="W658" s="830" t="s">
        <v>2013</v>
      </c>
    </row>
    <row r="659" spans="22:23">
      <c r="V659" s="830" t="s">
        <v>385</v>
      </c>
      <c r="W659" s="830" t="s">
        <v>902</v>
      </c>
    </row>
    <row r="660" spans="22:23">
      <c r="V660" s="830" t="s">
        <v>385</v>
      </c>
      <c r="W660" s="830" t="s">
        <v>25</v>
      </c>
    </row>
    <row r="661" spans="22:23">
      <c r="V661" s="830" t="s">
        <v>385</v>
      </c>
      <c r="W661" s="830" t="s">
        <v>1229</v>
      </c>
    </row>
    <row r="662" spans="22:23">
      <c r="V662" s="830" t="s">
        <v>385</v>
      </c>
      <c r="W662" s="830" t="s">
        <v>1233</v>
      </c>
    </row>
    <row r="663" spans="22:23">
      <c r="V663" s="830" t="s">
        <v>385</v>
      </c>
      <c r="W663" s="830" t="s">
        <v>667</v>
      </c>
    </row>
    <row r="664" spans="22:23">
      <c r="V664" s="830" t="s">
        <v>385</v>
      </c>
      <c r="W664" s="830" t="s">
        <v>324</v>
      </c>
    </row>
    <row r="665" spans="22:23">
      <c r="V665" s="830" t="s">
        <v>385</v>
      </c>
      <c r="W665" s="830" t="s">
        <v>1227</v>
      </c>
    </row>
    <row r="666" spans="22:23">
      <c r="V666" s="830" t="s">
        <v>385</v>
      </c>
      <c r="W666" s="830" t="s">
        <v>745</v>
      </c>
    </row>
    <row r="667" spans="22:23">
      <c r="V667" s="830" t="s">
        <v>385</v>
      </c>
      <c r="W667" s="830" t="s">
        <v>377</v>
      </c>
    </row>
    <row r="668" spans="22:23">
      <c r="V668" s="830" t="s">
        <v>385</v>
      </c>
      <c r="W668" s="830" t="s">
        <v>885</v>
      </c>
    </row>
    <row r="669" spans="22:23">
      <c r="V669" s="830" t="s">
        <v>385</v>
      </c>
      <c r="W669" s="830" t="s">
        <v>1265</v>
      </c>
    </row>
    <row r="670" spans="22:23">
      <c r="V670" s="830" t="s">
        <v>385</v>
      </c>
      <c r="W670" s="830" t="s">
        <v>1278</v>
      </c>
    </row>
    <row r="671" spans="22:23">
      <c r="V671" s="830" t="s">
        <v>385</v>
      </c>
      <c r="W671" s="830" t="s">
        <v>1912</v>
      </c>
    </row>
    <row r="672" spans="22:23">
      <c r="V672" s="830" t="s">
        <v>385</v>
      </c>
      <c r="W672" s="830" t="s">
        <v>1290</v>
      </c>
    </row>
    <row r="673" spans="22:23">
      <c r="V673" s="830" t="s">
        <v>385</v>
      </c>
      <c r="W673" s="830" t="s">
        <v>1306</v>
      </c>
    </row>
    <row r="674" spans="22:23">
      <c r="V674" s="830" t="s">
        <v>385</v>
      </c>
      <c r="W674" s="830" t="s">
        <v>2014</v>
      </c>
    </row>
    <row r="675" spans="22:23">
      <c r="V675" s="830" t="s">
        <v>385</v>
      </c>
      <c r="W675" s="830" t="s">
        <v>1890</v>
      </c>
    </row>
    <row r="676" spans="22:23">
      <c r="V676" s="830" t="s">
        <v>385</v>
      </c>
      <c r="W676" s="830" t="s">
        <v>976</v>
      </c>
    </row>
    <row r="677" spans="22:23">
      <c r="V677" s="830" t="s">
        <v>385</v>
      </c>
      <c r="W677" s="830" t="s">
        <v>1439</v>
      </c>
    </row>
    <row r="678" spans="22:23">
      <c r="V678" s="830" t="s">
        <v>385</v>
      </c>
      <c r="W678" s="830" t="s">
        <v>488</v>
      </c>
    </row>
    <row r="679" spans="22:23">
      <c r="V679" s="830" t="s">
        <v>385</v>
      </c>
      <c r="W679" s="830" t="s">
        <v>1548</v>
      </c>
    </row>
    <row r="680" spans="22:23">
      <c r="V680" s="830" t="s">
        <v>385</v>
      </c>
      <c r="W680" s="830" t="s">
        <v>1384</v>
      </c>
    </row>
    <row r="681" spans="22:23">
      <c r="V681" s="830" t="s">
        <v>385</v>
      </c>
      <c r="W681" s="830" t="s">
        <v>222</v>
      </c>
    </row>
    <row r="682" spans="22:23">
      <c r="V682" s="830" t="s">
        <v>385</v>
      </c>
      <c r="W682" s="830" t="s">
        <v>113</v>
      </c>
    </row>
    <row r="683" spans="22:23">
      <c r="V683" s="830" t="s">
        <v>385</v>
      </c>
      <c r="W683" s="830" t="s">
        <v>1427</v>
      </c>
    </row>
    <row r="684" spans="22:23">
      <c r="V684" s="830" t="s">
        <v>385</v>
      </c>
      <c r="W684" s="830" t="s">
        <v>1321</v>
      </c>
    </row>
    <row r="685" spans="22:23">
      <c r="V685" s="830" t="s">
        <v>385</v>
      </c>
      <c r="W685" s="830" t="s">
        <v>2015</v>
      </c>
    </row>
    <row r="686" spans="22:23">
      <c r="V686" s="830" t="s">
        <v>385</v>
      </c>
      <c r="W686" s="830" t="s">
        <v>1402</v>
      </c>
    </row>
    <row r="687" spans="22:23">
      <c r="V687" s="830" t="s">
        <v>385</v>
      </c>
      <c r="W687" s="830" t="s">
        <v>1550</v>
      </c>
    </row>
    <row r="688" spans="22:23">
      <c r="V688" s="830" t="s">
        <v>385</v>
      </c>
      <c r="W688" s="830" t="s">
        <v>299</v>
      </c>
    </row>
    <row r="689" spans="22:23">
      <c r="V689" s="830" t="s">
        <v>385</v>
      </c>
      <c r="W689" s="830" t="s">
        <v>1734</v>
      </c>
    </row>
    <row r="690" spans="22:23">
      <c r="V690" s="830" t="s">
        <v>385</v>
      </c>
      <c r="W690" s="830" t="s">
        <v>989</v>
      </c>
    </row>
    <row r="691" spans="22:23">
      <c r="V691" s="830" t="s">
        <v>385</v>
      </c>
      <c r="W691" s="830" t="s">
        <v>157</v>
      </c>
    </row>
    <row r="692" spans="22:23">
      <c r="V692" s="830" t="s">
        <v>385</v>
      </c>
      <c r="W692" s="830" t="s">
        <v>1978</v>
      </c>
    </row>
    <row r="693" spans="22:23">
      <c r="V693" s="830" t="s">
        <v>385</v>
      </c>
      <c r="W693" s="830" t="s">
        <v>1953</v>
      </c>
    </row>
    <row r="694" spans="22:23">
      <c r="V694" s="830" t="s">
        <v>385</v>
      </c>
      <c r="W694" s="830" t="s">
        <v>2016</v>
      </c>
    </row>
    <row r="695" spans="22:23">
      <c r="V695" s="830" t="s">
        <v>385</v>
      </c>
      <c r="W695" s="830" t="s">
        <v>2017</v>
      </c>
    </row>
    <row r="696" spans="22:23">
      <c r="V696" s="830" t="s">
        <v>385</v>
      </c>
      <c r="W696" s="830" t="s">
        <v>678</v>
      </c>
    </row>
    <row r="697" spans="22:23">
      <c r="V697" s="830" t="s">
        <v>385</v>
      </c>
      <c r="W697" s="830" t="s">
        <v>286</v>
      </c>
    </row>
    <row r="698" spans="22:23">
      <c r="V698" s="830" t="s">
        <v>1007</v>
      </c>
      <c r="W698" s="830" t="s">
        <v>1456</v>
      </c>
    </row>
    <row r="699" spans="22:23">
      <c r="V699" s="830" t="s">
        <v>1007</v>
      </c>
      <c r="W699" s="830" t="s">
        <v>1572</v>
      </c>
    </row>
    <row r="700" spans="22:23">
      <c r="V700" s="830" t="s">
        <v>1007</v>
      </c>
      <c r="W700" s="830" t="s">
        <v>335</v>
      </c>
    </row>
    <row r="701" spans="22:23">
      <c r="V701" s="830" t="s">
        <v>1007</v>
      </c>
      <c r="W701" s="830" t="s">
        <v>1214</v>
      </c>
    </row>
    <row r="702" spans="22:23">
      <c r="V702" s="830" t="s">
        <v>1007</v>
      </c>
      <c r="W702" s="830" t="s">
        <v>1430</v>
      </c>
    </row>
    <row r="703" spans="22:23">
      <c r="V703" s="830" t="s">
        <v>1007</v>
      </c>
      <c r="W703" s="830" t="s">
        <v>391</v>
      </c>
    </row>
    <row r="704" spans="22:23">
      <c r="V704" s="830" t="s">
        <v>1007</v>
      </c>
      <c r="W704" s="830" t="s">
        <v>1147</v>
      </c>
    </row>
    <row r="705" spans="22:23">
      <c r="V705" s="830" t="s">
        <v>1007</v>
      </c>
      <c r="W705" s="830" t="s">
        <v>889</v>
      </c>
    </row>
    <row r="706" spans="22:23">
      <c r="V706" s="830" t="s">
        <v>1007</v>
      </c>
      <c r="W706" s="830" t="s">
        <v>1432</v>
      </c>
    </row>
    <row r="707" spans="22:23">
      <c r="V707" s="830" t="s">
        <v>1007</v>
      </c>
      <c r="W707" s="830" t="s">
        <v>866</v>
      </c>
    </row>
    <row r="708" spans="22:23">
      <c r="V708" s="830" t="s">
        <v>1007</v>
      </c>
      <c r="W708" s="830" t="s">
        <v>957</v>
      </c>
    </row>
    <row r="709" spans="22:23">
      <c r="V709" s="830" t="s">
        <v>1007</v>
      </c>
      <c r="W709" s="830" t="s">
        <v>1553</v>
      </c>
    </row>
    <row r="710" spans="22:23">
      <c r="V710" s="830" t="s">
        <v>1007</v>
      </c>
      <c r="W710" s="830" t="s">
        <v>105</v>
      </c>
    </row>
    <row r="711" spans="22:23">
      <c r="V711" s="830" t="s">
        <v>1007</v>
      </c>
      <c r="W711" s="830" t="s">
        <v>1436</v>
      </c>
    </row>
    <row r="712" spans="22:23">
      <c r="V712" s="830" t="s">
        <v>1007</v>
      </c>
      <c r="W712" s="830" t="s">
        <v>1440</v>
      </c>
    </row>
    <row r="713" spans="22:23">
      <c r="V713" s="830" t="s">
        <v>1007</v>
      </c>
      <c r="W713" s="830" t="s">
        <v>1689</v>
      </c>
    </row>
    <row r="714" spans="22:23">
      <c r="V714" s="830" t="s">
        <v>1007</v>
      </c>
      <c r="W714" s="830" t="s">
        <v>1442</v>
      </c>
    </row>
    <row r="715" spans="22:23">
      <c r="V715" s="830" t="s">
        <v>1007</v>
      </c>
      <c r="W715" s="830" t="s">
        <v>1587</v>
      </c>
    </row>
    <row r="716" spans="22:23">
      <c r="V716" s="830" t="s">
        <v>1007</v>
      </c>
      <c r="W716" s="830" t="s">
        <v>1448</v>
      </c>
    </row>
    <row r="717" spans="22:23">
      <c r="V717" s="830" t="s">
        <v>1007</v>
      </c>
      <c r="W717" s="830" t="s">
        <v>1346</v>
      </c>
    </row>
    <row r="718" spans="22:23">
      <c r="V718" s="830" t="s">
        <v>1007</v>
      </c>
      <c r="W718" s="830" t="s">
        <v>454</v>
      </c>
    </row>
    <row r="719" spans="22:23">
      <c r="V719" s="830" t="s">
        <v>1007</v>
      </c>
      <c r="W719" s="830" t="s">
        <v>1555</v>
      </c>
    </row>
    <row r="720" spans="22:23">
      <c r="V720" s="830" t="s">
        <v>1007</v>
      </c>
      <c r="W720" s="830" t="s">
        <v>1556</v>
      </c>
    </row>
    <row r="721" spans="22:23">
      <c r="V721" s="830" t="s">
        <v>1007</v>
      </c>
      <c r="W721" s="830" t="s">
        <v>2018</v>
      </c>
    </row>
    <row r="722" spans="22:23">
      <c r="V722" s="830" t="s">
        <v>1007</v>
      </c>
      <c r="W722" s="830" t="s">
        <v>2019</v>
      </c>
    </row>
    <row r="723" spans="22:23">
      <c r="V723" s="830" t="s">
        <v>1007</v>
      </c>
      <c r="W723" s="830" t="s">
        <v>1505</v>
      </c>
    </row>
    <row r="724" spans="22:23">
      <c r="V724" s="830" t="s">
        <v>1007</v>
      </c>
      <c r="W724" s="830" t="s">
        <v>2020</v>
      </c>
    </row>
    <row r="725" spans="22:23">
      <c r="V725" s="830" t="s">
        <v>1007</v>
      </c>
      <c r="W725" s="830" t="s">
        <v>1608</v>
      </c>
    </row>
    <row r="726" spans="22:23">
      <c r="V726" s="830" t="s">
        <v>1007</v>
      </c>
      <c r="W726" s="830" t="s">
        <v>1798</v>
      </c>
    </row>
    <row r="727" spans="22:23">
      <c r="V727" s="830" t="s">
        <v>1007</v>
      </c>
      <c r="W727" s="830" t="s">
        <v>2021</v>
      </c>
    </row>
    <row r="728" spans="22:23">
      <c r="V728" s="830" t="s">
        <v>1007</v>
      </c>
      <c r="W728" s="830" t="s">
        <v>1839</v>
      </c>
    </row>
    <row r="729" spans="22:23">
      <c r="V729" s="830" t="s">
        <v>1007</v>
      </c>
      <c r="W729" s="830" t="s">
        <v>848</v>
      </c>
    </row>
    <row r="730" spans="22:23">
      <c r="V730" s="830" t="s">
        <v>1007</v>
      </c>
      <c r="W730" s="830" t="s">
        <v>1558</v>
      </c>
    </row>
    <row r="731" spans="22:23">
      <c r="V731" s="830" t="s">
        <v>602</v>
      </c>
      <c r="W731" s="830" t="s">
        <v>1314</v>
      </c>
    </row>
    <row r="732" spans="22:23">
      <c r="V732" s="830" t="s">
        <v>602</v>
      </c>
      <c r="W732" s="830" t="s">
        <v>2022</v>
      </c>
    </row>
    <row r="733" spans="22:23">
      <c r="V733" s="830" t="s">
        <v>602</v>
      </c>
      <c r="W733" s="830" t="s">
        <v>160</v>
      </c>
    </row>
    <row r="734" spans="22:23">
      <c r="V734" s="830" t="s">
        <v>602</v>
      </c>
      <c r="W734" s="830" t="s">
        <v>1205</v>
      </c>
    </row>
    <row r="735" spans="22:23">
      <c r="V735" s="830" t="s">
        <v>602</v>
      </c>
      <c r="W735" s="830" t="s">
        <v>2023</v>
      </c>
    </row>
    <row r="736" spans="22:23">
      <c r="V736" s="830" t="s">
        <v>602</v>
      </c>
      <c r="W736" s="830" t="s">
        <v>2024</v>
      </c>
    </row>
    <row r="737" spans="22:23">
      <c r="V737" s="830" t="s">
        <v>602</v>
      </c>
      <c r="W737" s="830" t="s">
        <v>1477</v>
      </c>
    </row>
    <row r="738" spans="22:23">
      <c r="V738" s="830" t="s">
        <v>602</v>
      </c>
      <c r="W738" s="830" t="s">
        <v>2025</v>
      </c>
    </row>
    <row r="739" spans="22:23">
      <c r="V739" s="830" t="s">
        <v>602</v>
      </c>
      <c r="W739" s="830" t="s">
        <v>1374</v>
      </c>
    </row>
    <row r="740" spans="22:23">
      <c r="V740" s="830" t="s">
        <v>602</v>
      </c>
      <c r="W740" s="830" t="s">
        <v>1709</v>
      </c>
    </row>
    <row r="741" spans="22:23">
      <c r="V741" s="830" t="s">
        <v>602</v>
      </c>
      <c r="W741" s="830" t="s">
        <v>2026</v>
      </c>
    </row>
    <row r="742" spans="22:23">
      <c r="V742" s="830" t="s">
        <v>602</v>
      </c>
      <c r="W742" s="830" t="s">
        <v>2027</v>
      </c>
    </row>
    <row r="743" spans="22:23">
      <c r="V743" s="830" t="s">
        <v>602</v>
      </c>
      <c r="W743" s="830" t="s">
        <v>2028</v>
      </c>
    </row>
    <row r="744" spans="22:23">
      <c r="V744" s="830" t="s">
        <v>602</v>
      </c>
      <c r="W744" s="830" t="s">
        <v>1021</v>
      </c>
    </row>
    <row r="745" spans="22:23">
      <c r="V745" s="830" t="s">
        <v>602</v>
      </c>
      <c r="W745" s="830" t="s">
        <v>372</v>
      </c>
    </row>
    <row r="746" spans="22:23">
      <c r="V746" s="830" t="s">
        <v>602</v>
      </c>
      <c r="W746" s="830" t="s">
        <v>2029</v>
      </c>
    </row>
    <row r="747" spans="22:23">
      <c r="V747" s="830" t="s">
        <v>602</v>
      </c>
      <c r="W747" s="830" t="s">
        <v>2030</v>
      </c>
    </row>
    <row r="748" spans="22:23">
      <c r="V748" s="830" t="s">
        <v>602</v>
      </c>
      <c r="W748" s="830" t="s">
        <v>2033</v>
      </c>
    </row>
    <row r="749" spans="22:23">
      <c r="V749" s="830" t="s">
        <v>602</v>
      </c>
      <c r="W749" s="830" t="s">
        <v>884</v>
      </c>
    </row>
    <row r="750" spans="22:23">
      <c r="V750" s="830" t="s">
        <v>602</v>
      </c>
      <c r="W750" s="830" t="s">
        <v>2035</v>
      </c>
    </row>
    <row r="751" spans="22:23">
      <c r="V751" s="830" t="s">
        <v>602</v>
      </c>
      <c r="W751" s="830" t="s">
        <v>1153</v>
      </c>
    </row>
    <row r="752" spans="22:23">
      <c r="V752" s="830" t="s">
        <v>602</v>
      </c>
      <c r="W752" s="830" t="s">
        <v>1702</v>
      </c>
    </row>
    <row r="753" spans="22:23">
      <c r="V753" s="830" t="s">
        <v>602</v>
      </c>
      <c r="W753" s="830" t="s">
        <v>2036</v>
      </c>
    </row>
    <row r="754" spans="22:23">
      <c r="V754" s="830" t="s">
        <v>602</v>
      </c>
      <c r="W754" s="830" t="s">
        <v>2037</v>
      </c>
    </row>
    <row r="755" spans="22:23">
      <c r="V755" s="830" t="s">
        <v>602</v>
      </c>
      <c r="W755" s="830" t="s">
        <v>1483</v>
      </c>
    </row>
    <row r="756" spans="22:23">
      <c r="V756" s="830" t="s">
        <v>602</v>
      </c>
      <c r="W756" s="830" t="s">
        <v>692</v>
      </c>
    </row>
    <row r="757" spans="22:23">
      <c r="V757" s="830" t="s">
        <v>602</v>
      </c>
      <c r="W757" s="830" t="s">
        <v>2038</v>
      </c>
    </row>
    <row r="758" spans="22:23">
      <c r="V758" s="830" t="s">
        <v>602</v>
      </c>
      <c r="W758" s="830" t="s">
        <v>1202</v>
      </c>
    </row>
    <row r="759" spans="22:23">
      <c r="V759" s="830" t="s">
        <v>602</v>
      </c>
      <c r="W759" s="830" t="s">
        <v>507</v>
      </c>
    </row>
    <row r="760" spans="22:23">
      <c r="V760" s="830" t="s">
        <v>602</v>
      </c>
      <c r="W760" s="830" t="s">
        <v>1295</v>
      </c>
    </row>
    <row r="761" spans="22:23">
      <c r="V761" s="830" t="s">
        <v>1025</v>
      </c>
      <c r="W761" s="830" t="s">
        <v>915</v>
      </c>
    </row>
    <row r="762" spans="22:23">
      <c r="V762" s="830" t="s">
        <v>1025</v>
      </c>
      <c r="W762" s="830" t="s">
        <v>1075</v>
      </c>
    </row>
    <row r="763" spans="22:23">
      <c r="V763" s="830" t="s">
        <v>1025</v>
      </c>
      <c r="W763" s="830" t="s">
        <v>2039</v>
      </c>
    </row>
    <row r="764" spans="22:23">
      <c r="V764" s="830" t="s">
        <v>1025</v>
      </c>
      <c r="W764" s="830" t="s">
        <v>2040</v>
      </c>
    </row>
    <row r="765" spans="22:23">
      <c r="V765" s="830" t="s">
        <v>1025</v>
      </c>
      <c r="W765" s="830" t="s">
        <v>1916</v>
      </c>
    </row>
    <row r="766" spans="22:23">
      <c r="V766" s="830" t="s">
        <v>1025</v>
      </c>
      <c r="W766" s="830" t="s">
        <v>810</v>
      </c>
    </row>
    <row r="767" spans="22:23">
      <c r="V767" s="830" t="s">
        <v>1025</v>
      </c>
      <c r="W767" s="830" t="s">
        <v>1168</v>
      </c>
    </row>
    <row r="768" spans="22:23">
      <c r="V768" s="830" t="s">
        <v>1025</v>
      </c>
      <c r="W768" s="830" t="s">
        <v>2042</v>
      </c>
    </row>
    <row r="769" spans="22:23">
      <c r="V769" s="830" t="s">
        <v>1025</v>
      </c>
      <c r="W769" s="830" t="s">
        <v>2043</v>
      </c>
    </row>
    <row r="770" spans="22:23">
      <c r="V770" s="830" t="s">
        <v>1025</v>
      </c>
      <c r="W770" s="830" t="s">
        <v>2044</v>
      </c>
    </row>
    <row r="771" spans="22:23">
      <c r="V771" s="830" t="s">
        <v>1025</v>
      </c>
      <c r="W771" s="830" t="s">
        <v>2045</v>
      </c>
    </row>
    <row r="772" spans="22:23">
      <c r="V772" s="830" t="s">
        <v>1025</v>
      </c>
      <c r="W772" s="830" t="s">
        <v>420</v>
      </c>
    </row>
    <row r="773" spans="22:23">
      <c r="V773" s="830" t="s">
        <v>1025</v>
      </c>
      <c r="W773" s="830" t="s">
        <v>2046</v>
      </c>
    </row>
    <row r="774" spans="22:23">
      <c r="V774" s="830" t="s">
        <v>1025</v>
      </c>
      <c r="W774" s="830" t="s">
        <v>2047</v>
      </c>
    </row>
    <row r="775" spans="22:23">
      <c r="V775" s="830" t="s">
        <v>1025</v>
      </c>
      <c r="W775" s="830" t="s">
        <v>1801</v>
      </c>
    </row>
    <row r="776" spans="22:23">
      <c r="V776" s="830" t="s">
        <v>1031</v>
      </c>
      <c r="W776" s="830" t="s">
        <v>614</v>
      </c>
    </row>
    <row r="777" spans="22:23">
      <c r="V777" s="830" t="s">
        <v>1031</v>
      </c>
      <c r="W777" s="830" t="s">
        <v>287</v>
      </c>
    </row>
    <row r="778" spans="22:23">
      <c r="V778" s="830" t="s">
        <v>1031</v>
      </c>
      <c r="W778" s="830" t="s">
        <v>2048</v>
      </c>
    </row>
    <row r="779" spans="22:23">
      <c r="V779" s="830" t="s">
        <v>1031</v>
      </c>
      <c r="W779" s="830" t="s">
        <v>547</v>
      </c>
    </row>
    <row r="780" spans="22:23">
      <c r="V780" s="830" t="s">
        <v>1031</v>
      </c>
      <c r="W780" s="830" t="s">
        <v>2049</v>
      </c>
    </row>
    <row r="781" spans="22:23">
      <c r="V781" s="830" t="s">
        <v>1031</v>
      </c>
      <c r="W781" s="830" t="s">
        <v>1667</v>
      </c>
    </row>
    <row r="782" spans="22:23">
      <c r="V782" s="830" t="s">
        <v>1031</v>
      </c>
      <c r="W782" s="830" t="s">
        <v>288</v>
      </c>
    </row>
    <row r="783" spans="22:23">
      <c r="V783" s="830" t="s">
        <v>1031</v>
      </c>
      <c r="W783" s="830" t="s">
        <v>595</v>
      </c>
    </row>
    <row r="784" spans="22:23">
      <c r="V784" s="830" t="s">
        <v>1031</v>
      </c>
      <c r="W784" s="830" t="s">
        <v>1811</v>
      </c>
    </row>
    <row r="785" spans="22:23">
      <c r="V785" s="830" t="s">
        <v>1031</v>
      </c>
      <c r="W785" s="830" t="s">
        <v>1180</v>
      </c>
    </row>
    <row r="786" spans="22:23">
      <c r="V786" s="830" t="s">
        <v>1031</v>
      </c>
      <c r="W786" s="830" t="s">
        <v>2050</v>
      </c>
    </row>
    <row r="787" spans="22:23">
      <c r="V787" s="830" t="s">
        <v>1031</v>
      </c>
      <c r="W787" s="830" t="s">
        <v>94</v>
      </c>
    </row>
    <row r="788" spans="22:23">
      <c r="V788" s="830" t="s">
        <v>1031</v>
      </c>
      <c r="W788" s="830" t="s">
        <v>1326</v>
      </c>
    </row>
    <row r="789" spans="22:23">
      <c r="V789" s="830" t="s">
        <v>1031</v>
      </c>
      <c r="W789" s="830" t="s">
        <v>1803</v>
      </c>
    </row>
    <row r="790" spans="22:23">
      <c r="V790" s="830" t="s">
        <v>1031</v>
      </c>
      <c r="W790" s="830" t="s">
        <v>2052</v>
      </c>
    </row>
    <row r="791" spans="22:23">
      <c r="V791" s="830" t="s">
        <v>1031</v>
      </c>
      <c r="W791" s="830" t="s">
        <v>2053</v>
      </c>
    </row>
    <row r="792" spans="22:23">
      <c r="V792" s="830" t="s">
        <v>1031</v>
      </c>
      <c r="W792" s="830" t="s">
        <v>1638</v>
      </c>
    </row>
    <row r="793" spans="22:23">
      <c r="V793" s="830" t="s">
        <v>1031</v>
      </c>
      <c r="W793" s="830" t="s">
        <v>2054</v>
      </c>
    </row>
    <row r="794" spans="22:23">
      <c r="V794" s="830" t="s">
        <v>1031</v>
      </c>
      <c r="W794" s="830" t="s">
        <v>2055</v>
      </c>
    </row>
    <row r="795" spans="22:23">
      <c r="V795" s="830" t="s">
        <v>679</v>
      </c>
      <c r="W795" s="830" t="s">
        <v>1804</v>
      </c>
    </row>
    <row r="796" spans="22:23">
      <c r="V796" s="830" t="s">
        <v>679</v>
      </c>
      <c r="W796" s="830" t="s">
        <v>226</v>
      </c>
    </row>
    <row r="797" spans="22:23">
      <c r="V797" s="830" t="s">
        <v>679</v>
      </c>
      <c r="W797" s="830" t="s">
        <v>515</v>
      </c>
    </row>
    <row r="798" spans="22:23">
      <c r="V798" s="830" t="s">
        <v>679</v>
      </c>
      <c r="W798" s="830" t="s">
        <v>393</v>
      </c>
    </row>
    <row r="799" spans="22:23">
      <c r="V799" s="830" t="s">
        <v>679</v>
      </c>
      <c r="W799" s="830" t="s">
        <v>2056</v>
      </c>
    </row>
    <row r="800" spans="22:23">
      <c r="V800" s="830" t="s">
        <v>679</v>
      </c>
      <c r="W800" s="830" t="s">
        <v>2057</v>
      </c>
    </row>
    <row r="801" spans="22:23">
      <c r="V801" s="830" t="s">
        <v>679</v>
      </c>
      <c r="W801" s="830" t="s">
        <v>439</v>
      </c>
    </row>
    <row r="802" spans="22:23">
      <c r="V802" s="830" t="s">
        <v>679</v>
      </c>
      <c r="W802" s="830" t="s">
        <v>2058</v>
      </c>
    </row>
    <row r="803" spans="22:23">
      <c r="V803" s="830" t="s">
        <v>679</v>
      </c>
      <c r="W803" s="830" t="s">
        <v>2034</v>
      </c>
    </row>
    <row r="804" spans="22:23">
      <c r="V804" s="830" t="s">
        <v>679</v>
      </c>
      <c r="W804" s="830" t="s">
        <v>919</v>
      </c>
    </row>
    <row r="805" spans="22:23">
      <c r="V805" s="830" t="s">
        <v>679</v>
      </c>
      <c r="W805" s="830" t="s">
        <v>1518</v>
      </c>
    </row>
    <row r="806" spans="22:23">
      <c r="V806" s="830" t="s">
        <v>679</v>
      </c>
      <c r="W806" s="830" t="s">
        <v>2059</v>
      </c>
    </row>
    <row r="807" spans="22:23">
      <c r="V807" s="830" t="s">
        <v>679</v>
      </c>
      <c r="W807" s="830" t="s">
        <v>2060</v>
      </c>
    </row>
    <row r="808" spans="22:23">
      <c r="V808" s="830" t="s">
        <v>679</v>
      </c>
      <c r="W808" s="830" t="s">
        <v>675</v>
      </c>
    </row>
    <row r="809" spans="22:23">
      <c r="V809" s="830" t="s">
        <v>679</v>
      </c>
      <c r="W809" s="830" t="s">
        <v>2061</v>
      </c>
    </row>
    <row r="810" spans="22:23">
      <c r="V810" s="830" t="s">
        <v>679</v>
      </c>
      <c r="W810" s="830" t="s">
        <v>2062</v>
      </c>
    </row>
    <row r="811" spans="22:23">
      <c r="V811" s="830" t="s">
        <v>679</v>
      </c>
      <c r="W811" s="830" t="s">
        <v>1024</v>
      </c>
    </row>
    <row r="812" spans="22:23">
      <c r="V812" s="830" t="s">
        <v>1051</v>
      </c>
      <c r="W812" s="830" t="s">
        <v>1805</v>
      </c>
    </row>
    <row r="813" spans="22:23">
      <c r="V813" s="830" t="s">
        <v>1051</v>
      </c>
      <c r="W813" s="830" t="s">
        <v>2064</v>
      </c>
    </row>
    <row r="814" spans="22:23">
      <c r="V814" s="830" t="s">
        <v>1051</v>
      </c>
      <c r="W814" s="830" t="s">
        <v>2065</v>
      </c>
    </row>
    <row r="815" spans="22:23">
      <c r="V815" s="830" t="s">
        <v>1051</v>
      </c>
      <c r="W815" s="830" t="s">
        <v>2000</v>
      </c>
    </row>
    <row r="816" spans="22:23">
      <c r="V816" s="830" t="s">
        <v>1051</v>
      </c>
      <c r="W816" s="830" t="s">
        <v>2066</v>
      </c>
    </row>
    <row r="817" spans="22:23">
      <c r="V817" s="830" t="s">
        <v>1051</v>
      </c>
      <c r="W817" s="830" t="s">
        <v>2067</v>
      </c>
    </row>
    <row r="818" spans="22:23">
      <c r="V818" s="830" t="s">
        <v>1051</v>
      </c>
      <c r="W818" s="830" t="s">
        <v>1887</v>
      </c>
    </row>
    <row r="819" spans="22:23">
      <c r="V819" s="830" t="s">
        <v>1051</v>
      </c>
      <c r="W819" s="830" t="s">
        <v>1119</v>
      </c>
    </row>
    <row r="820" spans="22:23">
      <c r="V820" s="830" t="s">
        <v>1051</v>
      </c>
      <c r="W820" s="830" t="s">
        <v>2069</v>
      </c>
    </row>
    <row r="821" spans="22:23">
      <c r="V821" s="830" t="s">
        <v>1051</v>
      </c>
      <c r="W821" s="830" t="s">
        <v>500</v>
      </c>
    </row>
    <row r="822" spans="22:23">
      <c r="V822" s="830" t="s">
        <v>1051</v>
      </c>
      <c r="W822" s="830" t="s">
        <v>1361</v>
      </c>
    </row>
    <row r="823" spans="22:23">
      <c r="V823" s="830" t="s">
        <v>1051</v>
      </c>
      <c r="W823" s="830" t="s">
        <v>2071</v>
      </c>
    </row>
    <row r="824" spans="22:23">
      <c r="V824" s="830" t="s">
        <v>1051</v>
      </c>
      <c r="W824" s="830" t="s">
        <v>1113</v>
      </c>
    </row>
    <row r="825" spans="22:23">
      <c r="V825" s="830" t="s">
        <v>1051</v>
      </c>
      <c r="W825" s="830" t="s">
        <v>2003</v>
      </c>
    </row>
    <row r="826" spans="22:23">
      <c r="V826" s="830" t="s">
        <v>1051</v>
      </c>
      <c r="W826" s="830" t="s">
        <v>2072</v>
      </c>
    </row>
    <row r="827" spans="22:23">
      <c r="V827" s="830" t="s">
        <v>1051</v>
      </c>
      <c r="W827" s="830" t="s">
        <v>1974</v>
      </c>
    </row>
    <row r="828" spans="22:23">
      <c r="V828" s="830" t="s">
        <v>1051</v>
      </c>
      <c r="W828" s="830" t="s">
        <v>1288</v>
      </c>
    </row>
    <row r="829" spans="22:23">
      <c r="V829" s="830" t="s">
        <v>1051</v>
      </c>
      <c r="W829" s="830" t="s">
        <v>619</v>
      </c>
    </row>
    <row r="830" spans="22:23">
      <c r="V830" s="830" t="s">
        <v>1051</v>
      </c>
      <c r="W830" s="830" t="s">
        <v>401</v>
      </c>
    </row>
    <row r="831" spans="22:23">
      <c r="V831" s="830" t="s">
        <v>1051</v>
      </c>
      <c r="W831" s="830" t="s">
        <v>1958</v>
      </c>
    </row>
    <row r="832" spans="22:23">
      <c r="V832" s="830" t="s">
        <v>1051</v>
      </c>
      <c r="W832" s="830" t="s">
        <v>2074</v>
      </c>
    </row>
    <row r="833" spans="22:23">
      <c r="V833" s="830" t="s">
        <v>1051</v>
      </c>
      <c r="W833" s="830" t="s">
        <v>2075</v>
      </c>
    </row>
    <row r="834" spans="22:23">
      <c r="V834" s="830" t="s">
        <v>1051</v>
      </c>
      <c r="W834" s="830" t="s">
        <v>2076</v>
      </c>
    </row>
    <row r="835" spans="22:23">
      <c r="V835" s="830" t="s">
        <v>1051</v>
      </c>
      <c r="W835" s="830" t="s">
        <v>429</v>
      </c>
    </row>
    <row r="836" spans="22:23">
      <c r="V836" s="830" t="s">
        <v>1051</v>
      </c>
      <c r="W836" s="830" t="s">
        <v>2077</v>
      </c>
    </row>
    <row r="837" spans="22:23">
      <c r="V837" s="830" t="s">
        <v>1051</v>
      </c>
      <c r="W837" s="830" t="s">
        <v>2078</v>
      </c>
    </row>
    <row r="838" spans="22:23">
      <c r="V838" s="830" t="s">
        <v>1051</v>
      </c>
      <c r="W838" s="830" t="s">
        <v>1850</v>
      </c>
    </row>
    <row r="839" spans="22:23">
      <c r="V839" s="830" t="s">
        <v>1057</v>
      </c>
      <c r="W839" s="830" t="s">
        <v>162</v>
      </c>
    </row>
    <row r="840" spans="22:23">
      <c r="V840" s="830" t="s">
        <v>1057</v>
      </c>
      <c r="W840" s="830" t="s">
        <v>1812</v>
      </c>
    </row>
    <row r="841" spans="22:23">
      <c r="V841" s="830" t="s">
        <v>1057</v>
      </c>
      <c r="W841" s="830" t="s">
        <v>873</v>
      </c>
    </row>
    <row r="842" spans="22:23">
      <c r="V842" s="830" t="s">
        <v>1057</v>
      </c>
      <c r="W842" s="830" t="s">
        <v>136</v>
      </c>
    </row>
    <row r="843" spans="22:23">
      <c r="V843" s="830" t="s">
        <v>1057</v>
      </c>
      <c r="W843" s="830" t="s">
        <v>2079</v>
      </c>
    </row>
    <row r="844" spans="22:23">
      <c r="V844" s="830" t="s">
        <v>1057</v>
      </c>
      <c r="W844" s="830" t="s">
        <v>2081</v>
      </c>
    </row>
    <row r="845" spans="22:23">
      <c r="V845" s="830" t="s">
        <v>1057</v>
      </c>
      <c r="W845" s="830" t="s">
        <v>1109</v>
      </c>
    </row>
    <row r="846" spans="22:23">
      <c r="V846" s="830" t="s">
        <v>1057</v>
      </c>
      <c r="W846" s="830" t="s">
        <v>2083</v>
      </c>
    </row>
    <row r="847" spans="22:23">
      <c r="V847" s="830" t="s">
        <v>1057</v>
      </c>
      <c r="W847" s="830" t="s">
        <v>1866</v>
      </c>
    </row>
    <row r="848" spans="22:23">
      <c r="V848" s="830" t="s">
        <v>1057</v>
      </c>
      <c r="W848" s="830" t="s">
        <v>2085</v>
      </c>
    </row>
    <row r="849" spans="22:23">
      <c r="V849" s="830" t="s">
        <v>1057</v>
      </c>
      <c r="W849" s="830" t="s">
        <v>1962</v>
      </c>
    </row>
    <row r="850" spans="22:23">
      <c r="V850" s="830" t="s">
        <v>1057</v>
      </c>
      <c r="W850" s="830" t="s">
        <v>2086</v>
      </c>
    </row>
    <row r="851" spans="22:23">
      <c r="V851" s="830" t="s">
        <v>1057</v>
      </c>
      <c r="W851" s="830" t="s">
        <v>777</v>
      </c>
    </row>
    <row r="852" spans="22:23">
      <c r="V852" s="830" t="s">
        <v>1057</v>
      </c>
      <c r="W852" s="830" t="s">
        <v>1662</v>
      </c>
    </row>
    <row r="853" spans="22:23">
      <c r="V853" s="830" t="s">
        <v>1057</v>
      </c>
      <c r="W853" s="830" t="s">
        <v>1814</v>
      </c>
    </row>
    <row r="854" spans="22:23">
      <c r="V854" s="830" t="s">
        <v>1057</v>
      </c>
      <c r="W854" s="830" t="s">
        <v>486</v>
      </c>
    </row>
    <row r="855" spans="22:23">
      <c r="V855" s="830" t="s">
        <v>1057</v>
      </c>
      <c r="W855" s="830" t="s">
        <v>1909</v>
      </c>
    </row>
    <row r="856" spans="22:23">
      <c r="V856" s="830" t="s">
        <v>1057</v>
      </c>
      <c r="W856" s="830" t="s">
        <v>648</v>
      </c>
    </row>
    <row r="857" spans="22:23">
      <c r="V857" s="830" t="s">
        <v>1057</v>
      </c>
      <c r="W857" s="830" t="s">
        <v>2087</v>
      </c>
    </row>
    <row r="858" spans="22:23">
      <c r="V858" s="830" t="s">
        <v>1057</v>
      </c>
      <c r="W858" s="830" t="s">
        <v>1048</v>
      </c>
    </row>
    <row r="859" spans="22:23">
      <c r="V859" s="830" t="s">
        <v>1057</v>
      </c>
      <c r="W859" s="830" t="s">
        <v>2088</v>
      </c>
    </row>
    <row r="860" spans="22:23">
      <c r="V860" s="830" t="s">
        <v>1057</v>
      </c>
      <c r="W860" s="830" t="s">
        <v>1966</v>
      </c>
    </row>
    <row r="861" spans="22:23">
      <c r="V861" s="830" t="s">
        <v>1057</v>
      </c>
      <c r="W861" s="830" t="s">
        <v>721</v>
      </c>
    </row>
    <row r="862" spans="22:23">
      <c r="V862" s="830" t="s">
        <v>1057</v>
      </c>
      <c r="W862" s="830" t="s">
        <v>563</v>
      </c>
    </row>
    <row r="863" spans="22:23">
      <c r="V863" s="830" t="s">
        <v>1057</v>
      </c>
      <c r="W863" s="830" t="s">
        <v>2089</v>
      </c>
    </row>
    <row r="864" spans="22:23">
      <c r="V864" s="830" t="s">
        <v>1057</v>
      </c>
      <c r="W864" s="830" t="s">
        <v>1084</v>
      </c>
    </row>
    <row r="865" spans="22:23">
      <c r="V865" s="830" t="s">
        <v>1057</v>
      </c>
      <c r="W865" s="830" t="s">
        <v>2090</v>
      </c>
    </row>
    <row r="866" spans="22:23">
      <c r="V866" s="830" t="s">
        <v>1057</v>
      </c>
      <c r="W866" s="830" t="s">
        <v>2091</v>
      </c>
    </row>
    <row r="867" spans="22:23">
      <c r="V867" s="830" t="s">
        <v>1057</v>
      </c>
      <c r="W867" s="830" t="s">
        <v>817</v>
      </c>
    </row>
    <row r="868" spans="22:23">
      <c r="V868" s="830" t="s">
        <v>1057</v>
      </c>
      <c r="W868" s="830" t="s">
        <v>1414</v>
      </c>
    </row>
    <row r="869" spans="22:23">
      <c r="V869" s="830" t="s">
        <v>1057</v>
      </c>
      <c r="W869" s="830" t="s">
        <v>2092</v>
      </c>
    </row>
    <row r="870" spans="22:23">
      <c r="V870" s="830" t="s">
        <v>1057</v>
      </c>
      <c r="W870" s="830" t="s">
        <v>1633</v>
      </c>
    </row>
    <row r="871" spans="22:23">
      <c r="V871" s="830" t="s">
        <v>1057</v>
      </c>
      <c r="W871" s="830" t="s">
        <v>2093</v>
      </c>
    </row>
    <row r="872" spans="22:23">
      <c r="V872" s="830" t="s">
        <v>1057</v>
      </c>
      <c r="W872" s="830" t="s">
        <v>2095</v>
      </c>
    </row>
    <row r="873" spans="22:23">
      <c r="V873" s="830" t="s">
        <v>1057</v>
      </c>
      <c r="W873" s="830" t="s">
        <v>2096</v>
      </c>
    </row>
    <row r="874" spans="22:23">
      <c r="V874" s="830" t="s">
        <v>1057</v>
      </c>
      <c r="W874" s="830" t="s">
        <v>1126</v>
      </c>
    </row>
    <row r="875" spans="22:23">
      <c r="V875" s="830" t="s">
        <v>1057</v>
      </c>
      <c r="W875" s="830" t="s">
        <v>2097</v>
      </c>
    </row>
    <row r="876" spans="22:23">
      <c r="V876" s="830" t="s">
        <v>1057</v>
      </c>
      <c r="W876" s="830" t="s">
        <v>1009</v>
      </c>
    </row>
    <row r="877" spans="22:23">
      <c r="V877" s="830" t="s">
        <v>1057</v>
      </c>
      <c r="W877" s="830" t="s">
        <v>1888</v>
      </c>
    </row>
    <row r="878" spans="22:23">
      <c r="V878" s="830" t="s">
        <v>1057</v>
      </c>
      <c r="W878" s="830" t="s">
        <v>355</v>
      </c>
    </row>
    <row r="879" spans="22:23">
      <c r="V879" s="830" t="s">
        <v>1057</v>
      </c>
      <c r="W879" s="830" t="s">
        <v>2099</v>
      </c>
    </row>
    <row r="880" spans="22:23">
      <c r="V880" s="830" t="s">
        <v>1057</v>
      </c>
      <c r="W880" s="830" t="s">
        <v>423</v>
      </c>
    </row>
    <row r="881" spans="22:23">
      <c r="V881" s="830" t="s">
        <v>1057</v>
      </c>
      <c r="W881" s="830" t="s">
        <v>2100</v>
      </c>
    </row>
    <row r="882" spans="22:23">
      <c r="V882" s="830" t="s">
        <v>1057</v>
      </c>
      <c r="W882" s="830" t="s">
        <v>2101</v>
      </c>
    </row>
    <row r="883" spans="22:23">
      <c r="V883" s="830" t="s">
        <v>1057</v>
      </c>
      <c r="W883" s="830" t="s">
        <v>1173</v>
      </c>
    </row>
    <row r="884" spans="22:23">
      <c r="V884" s="830" t="s">
        <v>1057</v>
      </c>
      <c r="W884" s="830" t="s">
        <v>2102</v>
      </c>
    </row>
    <row r="885" spans="22:23">
      <c r="V885" s="830" t="s">
        <v>1057</v>
      </c>
      <c r="W885" s="830" t="s">
        <v>2103</v>
      </c>
    </row>
    <row r="886" spans="22:23">
      <c r="V886" s="830" t="s">
        <v>1057</v>
      </c>
      <c r="W886" s="830" t="s">
        <v>2098</v>
      </c>
    </row>
    <row r="887" spans="22:23">
      <c r="V887" s="830" t="s">
        <v>1057</v>
      </c>
      <c r="W887" s="830" t="s">
        <v>1859</v>
      </c>
    </row>
    <row r="888" spans="22:23">
      <c r="V888" s="830" t="s">
        <v>1057</v>
      </c>
      <c r="W888" s="830" t="s">
        <v>2104</v>
      </c>
    </row>
    <row r="889" spans="22:23">
      <c r="V889" s="830" t="s">
        <v>1057</v>
      </c>
      <c r="W889" s="830" t="s">
        <v>1403</v>
      </c>
    </row>
    <row r="890" spans="22:23">
      <c r="V890" s="830" t="s">
        <v>1057</v>
      </c>
      <c r="W890" s="830" t="s">
        <v>2105</v>
      </c>
    </row>
    <row r="891" spans="22:23">
      <c r="V891" s="830" t="s">
        <v>1057</v>
      </c>
      <c r="W891" s="830" t="s">
        <v>2106</v>
      </c>
    </row>
    <row r="892" spans="22:23">
      <c r="V892" s="830" t="s">
        <v>1057</v>
      </c>
      <c r="W892" s="830" t="s">
        <v>2107</v>
      </c>
    </row>
    <row r="893" spans="22:23">
      <c r="V893" s="830" t="s">
        <v>1057</v>
      </c>
      <c r="W893" s="830" t="s">
        <v>1869</v>
      </c>
    </row>
    <row r="894" spans="22:23">
      <c r="V894" s="830" t="s">
        <v>1057</v>
      </c>
      <c r="W894" s="830" t="s">
        <v>360</v>
      </c>
    </row>
    <row r="895" spans="22:23">
      <c r="V895" s="830" t="s">
        <v>1057</v>
      </c>
      <c r="W895" s="830" t="s">
        <v>610</v>
      </c>
    </row>
    <row r="896" spans="22:23">
      <c r="V896" s="830" t="s">
        <v>1057</v>
      </c>
      <c r="W896" s="830" t="s">
        <v>2108</v>
      </c>
    </row>
    <row r="897" spans="22:23">
      <c r="V897" s="830" t="s">
        <v>1057</v>
      </c>
      <c r="W897" s="830" t="s">
        <v>2110</v>
      </c>
    </row>
    <row r="898" spans="22:23">
      <c r="V898" s="830" t="s">
        <v>1057</v>
      </c>
      <c r="W898" s="830" t="s">
        <v>1524</v>
      </c>
    </row>
    <row r="899" spans="22:23">
      <c r="V899" s="830" t="s">
        <v>1057</v>
      </c>
      <c r="W899" s="830" t="s">
        <v>2111</v>
      </c>
    </row>
    <row r="900" spans="22:23">
      <c r="V900" s="830" t="s">
        <v>1057</v>
      </c>
      <c r="W900" s="830" t="s">
        <v>1370</v>
      </c>
    </row>
    <row r="901" spans="22:23">
      <c r="V901" s="830" t="s">
        <v>1057</v>
      </c>
      <c r="W901" s="830" t="s">
        <v>523</v>
      </c>
    </row>
    <row r="902" spans="22:23">
      <c r="V902" s="830" t="s">
        <v>1057</v>
      </c>
      <c r="W902" s="830" t="s">
        <v>1518</v>
      </c>
    </row>
    <row r="903" spans="22:23">
      <c r="V903" s="830" t="s">
        <v>1057</v>
      </c>
      <c r="W903" s="830" t="s">
        <v>148</v>
      </c>
    </row>
    <row r="904" spans="22:23">
      <c r="V904" s="830" t="s">
        <v>1057</v>
      </c>
      <c r="W904" s="830" t="s">
        <v>1501</v>
      </c>
    </row>
    <row r="905" spans="22:23">
      <c r="V905" s="830" t="s">
        <v>1057</v>
      </c>
      <c r="W905" s="830" t="s">
        <v>2112</v>
      </c>
    </row>
    <row r="906" spans="22:23">
      <c r="V906" s="830" t="s">
        <v>1057</v>
      </c>
      <c r="W906" s="830" t="s">
        <v>2113</v>
      </c>
    </row>
    <row r="907" spans="22:23">
      <c r="V907" s="830" t="s">
        <v>1057</v>
      </c>
      <c r="W907" s="830" t="s">
        <v>1258</v>
      </c>
    </row>
    <row r="908" spans="22:23">
      <c r="V908" s="830" t="s">
        <v>1057</v>
      </c>
      <c r="W908" s="830" t="s">
        <v>369</v>
      </c>
    </row>
    <row r="909" spans="22:23">
      <c r="V909" s="830" t="s">
        <v>1057</v>
      </c>
      <c r="W909" s="830" t="s">
        <v>1206</v>
      </c>
    </row>
    <row r="910" spans="22:23">
      <c r="V910" s="830" t="s">
        <v>1057</v>
      </c>
      <c r="W910" s="830" t="s">
        <v>1723</v>
      </c>
    </row>
    <row r="911" spans="22:23">
      <c r="V911" s="830" t="s">
        <v>1057</v>
      </c>
      <c r="W911" s="830" t="s">
        <v>2117</v>
      </c>
    </row>
    <row r="912" spans="22:23">
      <c r="V912" s="830" t="s">
        <v>1057</v>
      </c>
      <c r="W912" s="830" t="s">
        <v>1616</v>
      </c>
    </row>
    <row r="913" spans="22:23">
      <c r="V913" s="830" t="s">
        <v>1057</v>
      </c>
      <c r="W913" s="830" t="s">
        <v>1420</v>
      </c>
    </row>
    <row r="914" spans="22:23">
      <c r="V914" s="830" t="s">
        <v>1057</v>
      </c>
      <c r="W914" s="830" t="s">
        <v>2068</v>
      </c>
    </row>
    <row r="915" spans="22:23">
      <c r="V915" s="830" t="s">
        <v>1057</v>
      </c>
      <c r="W915" s="830" t="s">
        <v>1714</v>
      </c>
    </row>
    <row r="916" spans="22:23">
      <c r="V916" s="830" t="s">
        <v>180</v>
      </c>
      <c r="W916" s="830" t="s">
        <v>84</v>
      </c>
    </row>
    <row r="917" spans="22:23">
      <c r="V917" s="830" t="s">
        <v>180</v>
      </c>
      <c r="W917" s="830" t="s">
        <v>40</v>
      </c>
    </row>
    <row r="918" spans="22:23">
      <c r="V918" s="830" t="s">
        <v>180</v>
      </c>
      <c r="W918" s="830" t="s">
        <v>457</v>
      </c>
    </row>
    <row r="919" spans="22:23">
      <c r="V919" s="830" t="s">
        <v>180</v>
      </c>
      <c r="W919" s="830" t="s">
        <v>1434</v>
      </c>
    </row>
    <row r="920" spans="22:23">
      <c r="V920" s="830" t="s">
        <v>180</v>
      </c>
      <c r="W920" s="830" t="s">
        <v>2119</v>
      </c>
    </row>
    <row r="921" spans="22:23">
      <c r="V921" s="830" t="s">
        <v>180</v>
      </c>
      <c r="W921" s="830" t="s">
        <v>2120</v>
      </c>
    </row>
    <row r="922" spans="22:23">
      <c r="V922" s="830" t="s">
        <v>180</v>
      </c>
      <c r="W922" s="830" t="s">
        <v>2122</v>
      </c>
    </row>
    <row r="923" spans="22:23">
      <c r="V923" s="830" t="s">
        <v>180</v>
      </c>
      <c r="W923" s="830" t="s">
        <v>2123</v>
      </c>
    </row>
    <row r="924" spans="22:23">
      <c r="V924" s="830" t="s">
        <v>180</v>
      </c>
      <c r="W924" s="830" t="s">
        <v>1035</v>
      </c>
    </row>
    <row r="925" spans="22:23">
      <c r="V925" s="830" t="s">
        <v>180</v>
      </c>
      <c r="W925" s="830" t="s">
        <v>2124</v>
      </c>
    </row>
    <row r="926" spans="22:23">
      <c r="V926" s="830" t="s">
        <v>180</v>
      </c>
      <c r="W926" s="830" t="s">
        <v>2125</v>
      </c>
    </row>
    <row r="927" spans="22:23">
      <c r="V927" s="830" t="s">
        <v>180</v>
      </c>
      <c r="W927" s="830" t="s">
        <v>1472</v>
      </c>
    </row>
    <row r="928" spans="22:23">
      <c r="V928" s="830" t="s">
        <v>180</v>
      </c>
      <c r="W928" s="830" t="s">
        <v>1818</v>
      </c>
    </row>
    <row r="929" spans="22:23">
      <c r="V929" s="830" t="s">
        <v>180</v>
      </c>
      <c r="W929" s="830" t="s">
        <v>1822</v>
      </c>
    </row>
    <row r="930" spans="22:23">
      <c r="V930" s="830" t="s">
        <v>180</v>
      </c>
      <c r="W930" s="830" t="s">
        <v>2126</v>
      </c>
    </row>
    <row r="931" spans="22:23">
      <c r="V931" s="830" t="s">
        <v>180</v>
      </c>
      <c r="W931" s="830" t="s">
        <v>2127</v>
      </c>
    </row>
    <row r="932" spans="22:23">
      <c r="V932" s="830" t="s">
        <v>180</v>
      </c>
      <c r="W932" s="830" t="s">
        <v>1968</v>
      </c>
    </row>
    <row r="933" spans="22:23">
      <c r="V933" s="830" t="s">
        <v>180</v>
      </c>
      <c r="W933" s="830" t="s">
        <v>1099</v>
      </c>
    </row>
    <row r="934" spans="22:23">
      <c r="V934" s="830" t="s">
        <v>180</v>
      </c>
      <c r="W934" s="830" t="s">
        <v>2118</v>
      </c>
    </row>
    <row r="935" spans="22:23">
      <c r="V935" s="830" t="s">
        <v>180</v>
      </c>
      <c r="W935" s="830" t="s">
        <v>2128</v>
      </c>
    </row>
    <row r="936" spans="22:23">
      <c r="V936" s="830" t="s">
        <v>180</v>
      </c>
      <c r="W936" s="830" t="s">
        <v>1443</v>
      </c>
    </row>
    <row r="937" spans="22:23">
      <c r="V937" s="830" t="s">
        <v>180</v>
      </c>
      <c r="W937" s="830" t="s">
        <v>1198</v>
      </c>
    </row>
    <row r="938" spans="22:23">
      <c r="V938" s="830" t="s">
        <v>180</v>
      </c>
      <c r="W938" s="830" t="s">
        <v>1064</v>
      </c>
    </row>
    <row r="939" spans="22:23">
      <c r="V939" s="830" t="s">
        <v>180</v>
      </c>
      <c r="W939" s="830" t="s">
        <v>2031</v>
      </c>
    </row>
    <row r="940" spans="22:23">
      <c r="V940" s="830" t="s">
        <v>180</v>
      </c>
      <c r="W940" s="830" t="s">
        <v>1387</v>
      </c>
    </row>
    <row r="941" spans="22:23">
      <c r="V941" s="830" t="s">
        <v>180</v>
      </c>
      <c r="W941" s="830" t="s">
        <v>2131</v>
      </c>
    </row>
    <row r="942" spans="22:23">
      <c r="V942" s="830" t="s">
        <v>180</v>
      </c>
      <c r="W942" s="830" t="s">
        <v>1392</v>
      </c>
    </row>
    <row r="943" spans="22:23">
      <c r="V943" s="830" t="s">
        <v>180</v>
      </c>
      <c r="W943" s="830" t="s">
        <v>1065</v>
      </c>
    </row>
    <row r="944" spans="22:23">
      <c r="V944" s="830" t="s">
        <v>180</v>
      </c>
      <c r="W944" s="830" t="s">
        <v>2132</v>
      </c>
    </row>
    <row r="945" spans="22:23">
      <c r="V945" s="830" t="s">
        <v>180</v>
      </c>
      <c r="W945" s="830" t="s">
        <v>2133</v>
      </c>
    </row>
    <row r="946" spans="22:23">
      <c r="V946" s="830" t="s">
        <v>180</v>
      </c>
      <c r="W946" s="830" t="s">
        <v>211</v>
      </c>
    </row>
    <row r="947" spans="22:23">
      <c r="V947" s="830" t="s">
        <v>180</v>
      </c>
      <c r="W947" s="830" t="s">
        <v>1518</v>
      </c>
    </row>
    <row r="948" spans="22:23">
      <c r="V948" s="830" t="s">
        <v>180</v>
      </c>
      <c r="W948" s="830" t="s">
        <v>1832</v>
      </c>
    </row>
    <row r="949" spans="22:23">
      <c r="V949" s="830" t="s">
        <v>180</v>
      </c>
      <c r="W949" s="830" t="s">
        <v>2135</v>
      </c>
    </row>
    <row r="950" spans="22:23">
      <c r="V950" s="830" t="s">
        <v>180</v>
      </c>
      <c r="W950" s="830" t="s">
        <v>1324</v>
      </c>
    </row>
    <row r="951" spans="22:23">
      <c r="V951" s="830" t="s">
        <v>180</v>
      </c>
      <c r="W951" s="830" t="s">
        <v>1425</v>
      </c>
    </row>
    <row r="952" spans="22:23">
      <c r="V952" s="830" t="s">
        <v>180</v>
      </c>
      <c r="W952" s="830" t="s">
        <v>21</v>
      </c>
    </row>
    <row r="953" spans="22:23">
      <c r="V953" s="830" t="s">
        <v>180</v>
      </c>
      <c r="W953" s="830" t="s">
        <v>87</v>
      </c>
    </row>
    <row r="954" spans="22:23">
      <c r="V954" s="830" t="s">
        <v>180</v>
      </c>
      <c r="W954" s="830" t="s">
        <v>485</v>
      </c>
    </row>
    <row r="955" spans="22:23">
      <c r="V955" s="830" t="s">
        <v>180</v>
      </c>
      <c r="W955" s="830" t="s">
        <v>768</v>
      </c>
    </row>
    <row r="956" spans="22:23">
      <c r="V956" s="830" t="s">
        <v>180</v>
      </c>
      <c r="W956" s="830" t="s">
        <v>2136</v>
      </c>
    </row>
    <row r="957" spans="22:23">
      <c r="V957" s="830" t="s">
        <v>180</v>
      </c>
      <c r="W957" s="830" t="s">
        <v>2137</v>
      </c>
    </row>
    <row r="958" spans="22:23">
      <c r="V958" s="830" t="s">
        <v>738</v>
      </c>
      <c r="W958" s="830" t="s">
        <v>1561</v>
      </c>
    </row>
    <row r="959" spans="22:23">
      <c r="V959" s="830" t="s">
        <v>738</v>
      </c>
      <c r="W959" s="830" t="s">
        <v>559</v>
      </c>
    </row>
    <row r="960" spans="22:23">
      <c r="V960" s="830" t="s">
        <v>738</v>
      </c>
      <c r="W960" s="830" t="s">
        <v>754</v>
      </c>
    </row>
    <row r="961" spans="22:23">
      <c r="V961" s="830" t="s">
        <v>738</v>
      </c>
      <c r="W961" s="830" t="s">
        <v>2139</v>
      </c>
    </row>
    <row r="962" spans="22:23">
      <c r="V962" s="830" t="s">
        <v>738</v>
      </c>
      <c r="W962" s="830" t="s">
        <v>279</v>
      </c>
    </row>
    <row r="963" spans="22:23">
      <c r="V963" s="830" t="s">
        <v>738</v>
      </c>
      <c r="W963" s="830" t="s">
        <v>1093</v>
      </c>
    </row>
    <row r="964" spans="22:23">
      <c r="V964" s="830" t="s">
        <v>738</v>
      </c>
      <c r="W964" s="830" t="s">
        <v>1315</v>
      </c>
    </row>
    <row r="965" spans="22:23">
      <c r="V965" s="830" t="s">
        <v>738</v>
      </c>
      <c r="W965" s="830" t="s">
        <v>1230</v>
      </c>
    </row>
    <row r="966" spans="22:23">
      <c r="V966" s="830" t="s">
        <v>738</v>
      </c>
      <c r="W966" s="830" t="s">
        <v>913</v>
      </c>
    </row>
    <row r="967" spans="22:23">
      <c r="V967" s="830" t="s">
        <v>738</v>
      </c>
      <c r="W967" s="830" t="s">
        <v>1830</v>
      </c>
    </row>
    <row r="968" spans="22:23">
      <c r="V968" s="830" t="s">
        <v>738</v>
      </c>
      <c r="W968" s="830" t="s">
        <v>244</v>
      </c>
    </row>
    <row r="969" spans="22:23">
      <c r="V969" s="830" t="s">
        <v>738</v>
      </c>
      <c r="W969" s="830" t="s">
        <v>1338</v>
      </c>
    </row>
    <row r="970" spans="22:23">
      <c r="V970" s="830" t="s">
        <v>738</v>
      </c>
      <c r="W970" s="830" t="s">
        <v>1661</v>
      </c>
    </row>
    <row r="971" spans="22:23">
      <c r="V971" s="830" t="s">
        <v>738</v>
      </c>
      <c r="W971" s="830" t="s">
        <v>208</v>
      </c>
    </row>
    <row r="972" spans="22:23">
      <c r="V972" s="830" t="s">
        <v>738</v>
      </c>
      <c r="W972" s="830" t="s">
        <v>1840</v>
      </c>
    </row>
    <row r="973" spans="22:23">
      <c r="V973" s="830" t="s">
        <v>738</v>
      </c>
      <c r="W973" s="830" t="s">
        <v>2141</v>
      </c>
    </row>
    <row r="974" spans="22:23">
      <c r="V974" s="830" t="s">
        <v>738</v>
      </c>
      <c r="W974" s="830" t="s">
        <v>1137</v>
      </c>
    </row>
    <row r="975" spans="22:23">
      <c r="V975" s="830" t="s">
        <v>738</v>
      </c>
      <c r="W975" s="830" t="s">
        <v>654</v>
      </c>
    </row>
    <row r="976" spans="22:23">
      <c r="V976" s="830" t="s">
        <v>738</v>
      </c>
      <c r="W976" s="830" t="s">
        <v>2094</v>
      </c>
    </row>
    <row r="977" spans="22:23">
      <c r="V977" s="830" t="s">
        <v>738</v>
      </c>
      <c r="W977" s="830" t="s">
        <v>1906</v>
      </c>
    </row>
    <row r="978" spans="22:23">
      <c r="V978" s="830" t="s">
        <v>738</v>
      </c>
      <c r="W978" s="830" t="s">
        <v>2143</v>
      </c>
    </row>
    <row r="979" spans="22:23">
      <c r="V979" s="830" t="s">
        <v>738</v>
      </c>
      <c r="W979" s="830" t="s">
        <v>2142</v>
      </c>
    </row>
    <row r="980" spans="22:23">
      <c r="V980" s="830" t="s">
        <v>738</v>
      </c>
      <c r="W980" s="830" t="s">
        <v>2144</v>
      </c>
    </row>
    <row r="981" spans="22:23">
      <c r="V981" s="830" t="s">
        <v>738</v>
      </c>
      <c r="W981" s="830" t="s">
        <v>1841</v>
      </c>
    </row>
    <row r="982" spans="22:23">
      <c r="V982" s="830" t="s">
        <v>738</v>
      </c>
      <c r="W982" s="830" t="s">
        <v>2145</v>
      </c>
    </row>
    <row r="983" spans="22:23">
      <c r="V983" s="830" t="s">
        <v>738</v>
      </c>
      <c r="W983" s="830" t="s">
        <v>2146</v>
      </c>
    </row>
    <row r="984" spans="22:23">
      <c r="V984" s="830" t="s">
        <v>738</v>
      </c>
      <c r="W984" s="830" t="s">
        <v>2147</v>
      </c>
    </row>
    <row r="985" spans="22:23">
      <c r="V985" s="830" t="s">
        <v>738</v>
      </c>
      <c r="W985" s="830" t="s">
        <v>2148</v>
      </c>
    </row>
    <row r="986" spans="22:23">
      <c r="V986" s="830" t="s">
        <v>738</v>
      </c>
      <c r="W986" s="830" t="s">
        <v>1842</v>
      </c>
    </row>
    <row r="987" spans="22:23">
      <c r="V987" s="830" t="s">
        <v>738</v>
      </c>
      <c r="W987" s="830" t="s">
        <v>700</v>
      </c>
    </row>
    <row r="988" spans="22:23">
      <c r="V988" s="830" t="s">
        <v>738</v>
      </c>
      <c r="W988" s="830" t="s">
        <v>1679</v>
      </c>
    </row>
    <row r="989" spans="22:23">
      <c r="V989" s="830" t="s">
        <v>738</v>
      </c>
      <c r="W989" s="830" t="s">
        <v>1844</v>
      </c>
    </row>
    <row r="990" spans="22:23">
      <c r="V990" s="830" t="s">
        <v>738</v>
      </c>
      <c r="W990" s="830" t="s">
        <v>2149</v>
      </c>
    </row>
    <row r="991" spans="22:23">
      <c r="V991" s="830" t="s">
        <v>738</v>
      </c>
      <c r="W991" s="830" t="s">
        <v>506</v>
      </c>
    </row>
    <row r="992" spans="22:23">
      <c r="V992" s="830" t="s">
        <v>738</v>
      </c>
      <c r="W992" s="830" t="s">
        <v>1304</v>
      </c>
    </row>
    <row r="993" spans="22:23">
      <c r="V993" s="830" t="s">
        <v>1098</v>
      </c>
      <c r="W993" s="830" t="s">
        <v>1280</v>
      </c>
    </row>
    <row r="994" spans="22:23">
      <c r="V994" s="830" t="s">
        <v>1098</v>
      </c>
      <c r="W994" s="830" t="s">
        <v>825</v>
      </c>
    </row>
    <row r="995" spans="22:23">
      <c r="V995" s="830" t="s">
        <v>1098</v>
      </c>
      <c r="W995" s="830" t="s">
        <v>1564</v>
      </c>
    </row>
    <row r="996" spans="22:23">
      <c r="V996" s="830" t="s">
        <v>1098</v>
      </c>
      <c r="W996" s="830" t="s">
        <v>1566</v>
      </c>
    </row>
    <row r="997" spans="22:23">
      <c r="V997" s="830" t="s">
        <v>1098</v>
      </c>
      <c r="W997" s="830" t="s">
        <v>409</v>
      </c>
    </row>
    <row r="998" spans="22:23">
      <c r="V998" s="830" t="s">
        <v>1098</v>
      </c>
      <c r="W998" s="830" t="s">
        <v>1697</v>
      </c>
    </row>
    <row r="999" spans="22:23">
      <c r="V999" s="830" t="s">
        <v>1098</v>
      </c>
      <c r="W999" s="830" t="s">
        <v>577</v>
      </c>
    </row>
    <row r="1000" spans="22:23">
      <c r="V1000" s="830" t="s">
        <v>1098</v>
      </c>
      <c r="W1000" s="830" t="s">
        <v>1593</v>
      </c>
    </row>
    <row r="1001" spans="22:23">
      <c r="V1001" s="830" t="s">
        <v>1098</v>
      </c>
      <c r="W1001" s="830" t="s">
        <v>701</v>
      </c>
    </row>
    <row r="1002" spans="22:23">
      <c r="V1002" s="830" t="s">
        <v>1098</v>
      </c>
      <c r="W1002" s="830" t="s">
        <v>1020</v>
      </c>
    </row>
    <row r="1003" spans="22:23">
      <c r="V1003" s="830" t="s">
        <v>1098</v>
      </c>
      <c r="W1003" s="830" t="s">
        <v>818</v>
      </c>
    </row>
    <row r="1004" spans="22:23">
      <c r="V1004" s="830" t="s">
        <v>1098</v>
      </c>
      <c r="W1004" s="830" t="s">
        <v>272</v>
      </c>
    </row>
    <row r="1005" spans="22:23">
      <c r="V1005" s="830" t="s">
        <v>1098</v>
      </c>
      <c r="W1005" s="830" t="s">
        <v>880</v>
      </c>
    </row>
    <row r="1006" spans="22:23">
      <c r="V1006" s="830" t="s">
        <v>1098</v>
      </c>
      <c r="W1006" s="830" t="s">
        <v>1350</v>
      </c>
    </row>
    <row r="1007" spans="22:23">
      <c r="V1007" s="830" t="s">
        <v>1098</v>
      </c>
      <c r="W1007" s="830" t="s">
        <v>1851</v>
      </c>
    </row>
    <row r="1008" spans="22:23">
      <c r="V1008" s="830" t="s">
        <v>1098</v>
      </c>
      <c r="W1008" s="830" t="s">
        <v>1577</v>
      </c>
    </row>
    <row r="1009" spans="22:23">
      <c r="V1009" s="830" t="s">
        <v>1098</v>
      </c>
      <c r="W1009" s="830" t="s">
        <v>883</v>
      </c>
    </row>
    <row r="1010" spans="22:23">
      <c r="V1010" s="830" t="s">
        <v>1098</v>
      </c>
      <c r="W1010" s="830" t="s">
        <v>1579</v>
      </c>
    </row>
    <row r="1011" spans="22:23">
      <c r="V1011" s="830" t="s">
        <v>1098</v>
      </c>
      <c r="W1011" s="830" t="s">
        <v>212</v>
      </c>
    </row>
    <row r="1012" spans="22:23">
      <c r="V1012" s="830" t="s">
        <v>1098</v>
      </c>
      <c r="W1012" s="830" t="s">
        <v>1581</v>
      </c>
    </row>
    <row r="1013" spans="22:23">
      <c r="V1013" s="830" t="s">
        <v>1098</v>
      </c>
      <c r="W1013" s="830" t="s">
        <v>1853</v>
      </c>
    </row>
    <row r="1014" spans="22:23">
      <c r="V1014" s="830" t="s">
        <v>1098</v>
      </c>
      <c r="W1014" s="830" t="s">
        <v>1854</v>
      </c>
    </row>
    <row r="1015" spans="22:23">
      <c r="V1015" s="830" t="s">
        <v>1098</v>
      </c>
      <c r="W1015" s="830" t="s">
        <v>510</v>
      </c>
    </row>
    <row r="1016" spans="22:23">
      <c r="V1016" s="830" t="s">
        <v>1098</v>
      </c>
      <c r="W1016" s="830" t="s">
        <v>1455</v>
      </c>
    </row>
    <row r="1017" spans="22:23">
      <c r="V1017" s="830" t="s">
        <v>1098</v>
      </c>
      <c r="W1017" s="830" t="s">
        <v>690</v>
      </c>
    </row>
    <row r="1018" spans="22:23">
      <c r="V1018" s="830" t="s">
        <v>1098</v>
      </c>
      <c r="W1018" s="830" t="s">
        <v>1583</v>
      </c>
    </row>
    <row r="1019" spans="22:23">
      <c r="V1019" s="830" t="s">
        <v>1098</v>
      </c>
      <c r="W1019" s="830" t="s">
        <v>1858</v>
      </c>
    </row>
    <row r="1020" spans="22:23">
      <c r="V1020" s="830" t="s">
        <v>1098</v>
      </c>
      <c r="W1020" s="830" t="s">
        <v>699</v>
      </c>
    </row>
    <row r="1021" spans="22:23">
      <c r="V1021" s="830" t="s">
        <v>1098</v>
      </c>
      <c r="W1021" s="830" t="s">
        <v>120</v>
      </c>
    </row>
    <row r="1022" spans="22:23">
      <c r="V1022" s="830" t="s">
        <v>1098</v>
      </c>
      <c r="W1022" s="830" t="s">
        <v>573</v>
      </c>
    </row>
    <row r="1023" spans="22:23">
      <c r="V1023" s="830" t="s">
        <v>1098</v>
      </c>
      <c r="W1023" s="830" t="s">
        <v>1862</v>
      </c>
    </row>
    <row r="1024" spans="22:23">
      <c r="V1024" s="830" t="s">
        <v>1098</v>
      </c>
      <c r="W1024" s="830" t="s">
        <v>426</v>
      </c>
    </row>
    <row r="1025" spans="22:23">
      <c r="V1025" s="830" t="s">
        <v>1098</v>
      </c>
      <c r="W1025" s="830" t="s">
        <v>965</v>
      </c>
    </row>
    <row r="1026" spans="22:23">
      <c r="V1026" s="830" t="s">
        <v>1098</v>
      </c>
      <c r="W1026" s="830" t="s">
        <v>1482</v>
      </c>
    </row>
    <row r="1027" spans="22:23">
      <c r="V1027" s="830" t="s">
        <v>1098</v>
      </c>
      <c r="W1027" s="830" t="s">
        <v>879</v>
      </c>
    </row>
    <row r="1028" spans="22:23">
      <c r="V1028" s="830" t="s">
        <v>1098</v>
      </c>
      <c r="W1028" s="830" t="s">
        <v>2151</v>
      </c>
    </row>
    <row r="1029" spans="22:23">
      <c r="V1029" s="830" t="s">
        <v>1098</v>
      </c>
      <c r="W1029" s="830" t="s">
        <v>1596</v>
      </c>
    </row>
    <row r="1030" spans="22:23">
      <c r="V1030" s="830" t="s">
        <v>1098</v>
      </c>
      <c r="W1030" s="830" t="s">
        <v>1598</v>
      </c>
    </row>
    <row r="1031" spans="22:23">
      <c r="V1031" s="830" t="s">
        <v>1098</v>
      </c>
      <c r="W1031" s="830" t="s">
        <v>581</v>
      </c>
    </row>
    <row r="1032" spans="22:23">
      <c r="V1032" s="830" t="s">
        <v>1098</v>
      </c>
      <c r="W1032" s="830" t="s">
        <v>727</v>
      </c>
    </row>
    <row r="1033" spans="22:23">
      <c r="V1033" s="830" t="s">
        <v>1098</v>
      </c>
      <c r="W1033" s="830" t="s">
        <v>1863</v>
      </c>
    </row>
    <row r="1034" spans="22:23">
      <c r="V1034" s="830" t="s">
        <v>1098</v>
      </c>
      <c r="W1034" s="830" t="s">
        <v>1655</v>
      </c>
    </row>
    <row r="1035" spans="22:23">
      <c r="V1035" s="830" t="s">
        <v>1098</v>
      </c>
      <c r="W1035" s="830" t="s">
        <v>1601</v>
      </c>
    </row>
    <row r="1036" spans="22:23">
      <c r="V1036" s="830" t="s">
        <v>1098</v>
      </c>
      <c r="W1036" s="830" t="s">
        <v>687</v>
      </c>
    </row>
    <row r="1037" spans="22:23">
      <c r="V1037" s="830" t="s">
        <v>1098</v>
      </c>
      <c r="W1037" s="830" t="s">
        <v>2152</v>
      </c>
    </row>
    <row r="1038" spans="22:23">
      <c r="V1038" s="830" t="s">
        <v>1098</v>
      </c>
      <c r="W1038" s="830" t="s">
        <v>1865</v>
      </c>
    </row>
    <row r="1039" spans="22:23">
      <c r="V1039" s="830" t="s">
        <v>1098</v>
      </c>
      <c r="W1039" s="830" t="s">
        <v>1867</v>
      </c>
    </row>
    <row r="1040" spans="22:23">
      <c r="V1040" s="830" t="s">
        <v>1098</v>
      </c>
      <c r="W1040" s="830" t="s">
        <v>746</v>
      </c>
    </row>
    <row r="1041" spans="22:23">
      <c r="V1041" s="830" t="s">
        <v>1098</v>
      </c>
      <c r="W1041" s="830" t="s">
        <v>675</v>
      </c>
    </row>
    <row r="1042" spans="22:23">
      <c r="V1042" s="830" t="s">
        <v>1098</v>
      </c>
      <c r="W1042" s="830" t="s">
        <v>1788</v>
      </c>
    </row>
    <row r="1043" spans="22:23">
      <c r="V1043" s="830" t="s">
        <v>1098</v>
      </c>
      <c r="W1043" s="830" t="s">
        <v>1872</v>
      </c>
    </row>
    <row r="1044" spans="22:23">
      <c r="V1044" s="830" t="s">
        <v>1098</v>
      </c>
      <c r="W1044" s="830" t="s">
        <v>1874</v>
      </c>
    </row>
    <row r="1045" spans="22:23">
      <c r="V1045" s="830" t="s">
        <v>1098</v>
      </c>
      <c r="W1045" s="830" t="s">
        <v>609</v>
      </c>
    </row>
    <row r="1046" spans="22:23">
      <c r="V1046" s="830" t="s">
        <v>1098</v>
      </c>
      <c r="W1046" s="830" t="s">
        <v>309</v>
      </c>
    </row>
    <row r="1047" spans="22:23">
      <c r="V1047" s="830" t="s">
        <v>1106</v>
      </c>
      <c r="W1047" s="830" t="s">
        <v>271</v>
      </c>
    </row>
    <row r="1048" spans="22:23">
      <c r="V1048" s="830" t="s">
        <v>1106</v>
      </c>
      <c r="W1048" s="830" t="s">
        <v>1611</v>
      </c>
    </row>
    <row r="1049" spans="22:23">
      <c r="V1049" s="830" t="s">
        <v>1106</v>
      </c>
      <c r="W1049" s="830" t="s">
        <v>1469</v>
      </c>
    </row>
    <row r="1050" spans="22:23">
      <c r="V1050" s="830" t="s">
        <v>1106</v>
      </c>
      <c r="W1050" s="830" t="s">
        <v>1594</v>
      </c>
    </row>
    <row r="1051" spans="22:23">
      <c r="V1051" s="830" t="s">
        <v>1106</v>
      </c>
      <c r="W1051" s="830" t="s">
        <v>312</v>
      </c>
    </row>
    <row r="1052" spans="22:23">
      <c r="V1052" s="830" t="s">
        <v>1106</v>
      </c>
      <c r="W1052" s="830" t="s">
        <v>1615</v>
      </c>
    </row>
    <row r="1053" spans="22:23">
      <c r="V1053" s="830" t="s">
        <v>1106</v>
      </c>
      <c r="W1053" s="830" t="s">
        <v>1881</v>
      </c>
    </row>
    <row r="1054" spans="22:23">
      <c r="V1054" s="830" t="s">
        <v>1106</v>
      </c>
      <c r="W1054" s="830" t="s">
        <v>1348</v>
      </c>
    </row>
    <row r="1055" spans="22:23">
      <c r="V1055" s="830" t="s">
        <v>1106</v>
      </c>
      <c r="W1055" s="830" t="s">
        <v>1619</v>
      </c>
    </row>
    <row r="1056" spans="22:23">
      <c r="V1056" s="830" t="s">
        <v>1106</v>
      </c>
      <c r="W1056" s="830" t="s">
        <v>2154</v>
      </c>
    </row>
    <row r="1057" spans="22:23">
      <c r="V1057" s="830" t="s">
        <v>1106</v>
      </c>
      <c r="W1057" s="830" t="s">
        <v>1683</v>
      </c>
    </row>
    <row r="1058" spans="22:23">
      <c r="V1058" s="830" t="s">
        <v>1106</v>
      </c>
      <c r="W1058" s="830" t="s">
        <v>1424</v>
      </c>
    </row>
    <row r="1059" spans="22:23">
      <c r="V1059" s="830" t="s">
        <v>1106</v>
      </c>
      <c r="W1059" s="830" t="s">
        <v>1366</v>
      </c>
    </row>
    <row r="1060" spans="22:23">
      <c r="V1060" s="830" t="s">
        <v>1106</v>
      </c>
      <c r="W1060" s="830" t="s">
        <v>1303</v>
      </c>
    </row>
    <row r="1061" spans="22:23">
      <c r="V1061" s="830" t="s">
        <v>1106</v>
      </c>
      <c r="W1061" s="830" t="s">
        <v>1088</v>
      </c>
    </row>
    <row r="1062" spans="22:23">
      <c r="V1062" s="830" t="s">
        <v>1106</v>
      </c>
      <c r="W1062" s="830" t="s">
        <v>1886</v>
      </c>
    </row>
    <row r="1063" spans="22:23">
      <c r="V1063" s="830" t="s">
        <v>1106</v>
      </c>
      <c r="W1063" s="830" t="s">
        <v>1730</v>
      </c>
    </row>
    <row r="1064" spans="22:23">
      <c r="V1064" s="830" t="s">
        <v>1106</v>
      </c>
      <c r="W1064" s="830" t="s">
        <v>1801</v>
      </c>
    </row>
    <row r="1065" spans="22:23">
      <c r="V1065" s="830" t="s">
        <v>1106</v>
      </c>
      <c r="W1065" s="830" t="s">
        <v>1891</v>
      </c>
    </row>
    <row r="1066" spans="22:23">
      <c r="V1066" s="830" t="s">
        <v>1106</v>
      </c>
      <c r="W1066" s="830" t="s">
        <v>66</v>
      </c>
    </row>
    <row r="1067" spans="22:23">
      <c r="V1067" s="830" t="s">
        <v>1106</v>
      </c>
      <c r="W1067" s="830" t="s">
        <v>400</v>
      </c>
    </row>
    <row r="1068" spans="22:23">
      <c r="V1068" s="830" t="s">
        <v>1106</v>
      </c>
      <c r="W1068" s="830" t="s">
        <v>1073</v>
      </c>
    </row>
    <row r="1069" spans="22:23">
      <c r="V1069" s="830" t="s">
        <v>1106</v>
      </c>
      <c r="W1069" s="830" t="s">
        <v>1621</v>
      </c>
    </row>
    <row r="1070" spans="22:23">
      <c r="V1070" s="830" t="s">
        <v>1106</v>
      </c>
      <c r="W1070" s="830" t="s">
        <v>1877</v>
      </c>
    </row>
    <row r="1071" spans="22:23">
      <c r="V1071" s="830" t="s">
        <v>1106</v>
      </c>
      <c r="W1071" s="830" t="s">
        <v>2156</v>
      </c>
    </row>
    <row r="1072" spans="22:23">
      <c r="V1072" s="830" t="s">
        <v>1106</v>
      </c>
      <c r="W1072" s="830" t="s">
        <v>2157</v>
      </c>
    </row>
    <row r="1073" spans="22:23">
      <c r="V1073" s="830" t="s">
        <v>1106</v>
      </c>
      <c r="W1073" s="830" t="s">
        <v>2158</v>
      </c>
    </row>
    <row r="1074" spans="22:23">
      <c r="V1074" s="830" t="s">
        <v>1106</v>
      </c>
      <c r="W1074" s="830" t="s">
        <v>2159</v>
      </c>
    </row>
    <row r="1075" spans="22:23">
      <c r="V1075" s="830" t="s">
        <v>1106</v>
      </c>
      <c r="W1075" s="830" t="s">
        <v>1837</v>
      </c>
    </row>
    <row r="1076" spans="22:23">
      <c r="V1076" s="830" t="s">
        <v>1122</v>
      </c>
      <c r="W1076" s="830" t="s">
        <v>1461</v>
      </c>
    </row>
    <row r="1077" spans="22:23">
      <c r="V1077" s="830" t="s">
        <v>1122</v>
      </c>
      <c r="W1077" s="830" t="s">
        <v>1620</v>
      </c>
    </row>
    <row r="1078" spans="22:23">
      <c r="V1078" s="830" t="s">
        <v>1122</v>
      </c>
      <c r="W1078" s="830" t="s">
        <v>660</v>
      </c>
    </row>
    <row r="1079" spans="22:23">
      <c r="V1079" s="830" t="s">
        <v>1122</v>
      </c>
      <c r="W1079" s="830" t="s">
        <v>2160</v>
      </c>
    </row>
    <row r="1080" spans="22:23">
      <c r="V1080" s="830" t="s">
        <v>1122</v>
      </c>
      <c r="W1080" s="830" t="s">
        <v>1463</v>
      </c>
    </row>
    <row r="1081" spans="22:23">
      <c r="V1081" s="830" t="s">
        <v>1122</v>
      </c>
      <c r="W1081" s="830" t="s">
        <v>1623</v>
      </c>
    </row>
    <row r="1082" spans="22:23">
      <c r="V1082" s="830" t="s">
        <v>1122</v>
      </c>
      <c r="W1082" s="830" t="s">
        <v>1017</v>
      </c>
    </row>
    <row r="1083" spans="22:23">
      <c r="V1083" s="830" t="s">
        <v>1122</v>
      </c>
      <c r="W1083" s="830" t="s">
        <v>1625</v>
      </c>
    </row>
    <row r="1084" spans="22:23">
      <c r="V1084" s="830" t="s">
        <v>1122</v>
      </c>
      <c r="W1084" s="830" t="s">
        <v>1895</v>
      </c>
    </row>
    <row r="1085" spans="22:23">
      <c r="V1085" s="830" t="s">
        <v>1122</v>
      </c>
      <c r="W1085" s="830" t="s">
        <v>1897</v>
      </c>
    </row>
    <row r="1086" spans="22:23">
      <c r="V1086" s="830" t="s">
        <v>1122</v>
      </c>
      <c r="W1086" s="830" t="s">
        <v>2161</v>
      </c>
    </row>
    <row r="1087" spans="22:23">
      <c r="V1087" s="830" t="s">
        <v>1122</v>
      </c>
      <c r="W1087" s="830" t="s">
        <v>1239</v>
      </c>
    </row>
    <row r="1088" spans="22:23">
      <c r="V1088" s="830" t="s">
        <v>1122</v>
      </c>
      <c r="W1088" s="830" t="s">
        <v>2140</v>
      </c>
    </row>
    <row r="1089" spans="22:23">
      <c r="V1089" s="830" t="s">
        <v>1122</v>
      </c>
      <c r="W1089" s="830" t="s">
        <v>1219</v>
      </c>
    </row>
    <row r="1090" spans="22:23">
      <c r="V1090" s="830" t="s">
        <v>1122</v>
      </c>
      <c r="W1090" s="830" t="s">
        <v>70</v>
      </c>
    </row>
    <row r="1091" spans="22:23">
      <c r="V1091" s="830" t="s">
        <v>1122</v>
      </c>
      <c r="W1091" s="830" t="s">
        <v>1618</v>
      </c>
    </row>
    <row r="1092" spans="22:23">
      <c r="V1092" s="830" t="s">
        <v>1122</v>
      </c>
      <c r="W1092" s="830" t="s">
        <v>1276</v>
      </c>
    </row>
    <row r="1093" spans="22:23">
      <c r="V1093" s="830" t="s">
        <v>1122</v>
      </c>
      <c r="W1093" s="830" t="s">
        <v>2162</v>
      </c>
    </row>
    <row r="1094" spans="22:23">
      <c r="V1094" s="830" t="s">
        <v>1122</v>
      </c>
      <c r="W1094" s="830" t="s">
        <v>63</v>
      </c>
    </row>
    <row r="1095" spans="22:23">
      <c r="V1095" s="830" t="s">
        <v>520</v>
      </c>
      <c r="W1095" s="830" t="s">
        <v>1466</v>
      </c>
    </row>
    <row r="1096" spans="22:23">
      <c r="V1096" s="830" t="s">
        <v>520</v>
      </c>
      <c r="W1096" s="830" t="s">
        <v>2130</v>
      </c>
    </row>
    <row r="1097" spans="22:23">
      <c r="V1097" s="830" t="s">
        <v>520</v>
      </c>
      <c r="W1097" s="830" t="s">
        <v>2115</v>
      </c>
    </row>
    <row r="1098" spans="22:23">
      <c r="V1098" s="830" t="s">
        <v>520</v>
      </c>
      <c r="W1098" s="830" t="s">
        <v>1144</v>
      </c>
    </row>
    <row r="1099" spans="22:23">
      <c r="V1099" s="830" t="s">
        <v>520</v>
      </c>
      <c r="W1099" s="830" t="s">
        <v>1626</v>
      </c>
    </row>
    <row r="1100" spans="22:23">
      <c r="V1100" s="830" t="s">
        <v>520</v>
      </c>
      <c r="W1100" s="830" t="s">
        <v>2163</v>
      </c>
    </row>
    <row r="1101" spans="22:23">
      <c r="V1101" s="830" t="s">
        <v>520</v>
      </c>
      <c r="W1101" s="830" t="s">
        <v>1628</v>
      </c>
    </row>
    <row r="1102" spans="22:23">
      <c r="V1102" s="830" t="s">
        <v>520</v>
      </c>
      <c r="W1102" s="830" t="s">
        <v>1630</v>
      </c>
    </row>
    <row r="1103" spans="22:23">
      <c r="V1103" s="830" t="s">
        <v>520</v>
      </c>
      <c r="W1103" s="830" t="s">
        <v>1632</v>
      </c>
    </row>
    <row r="1104" spans="22:23">
      <c r="V1104" s="830" t="s">
        <v>520</v>
      </c>
      <c r="W1104" s="830" t="s">
        <v>1066</v>
      </c>
    </row>
    <row r="1105" spans="22:23">
      <c r="V1105" s="830" t="s">
        <v>520</v>
      </c>
      <c r="W1105" s="830" t="s">
        <v>914</v>
      </c>
    </row>
    <row r="1106" spans="22:23">
      <c r="V1106" s="830" t="s">
        <v>520</v>
      </c>
      <c r="W1106" s="830" t="s">
        <v>1323</v>
      </c>
    </row>
    <row r="1107" spans="22:23">
      <c r="V1107" s="830" t="s">
        <v>520</v>
      </c>
      <c r="W1107" s="830" t="s">
        <v>1783</v>
      </c>
    </row>
    <row r="1108" spans="22:23">
      <c r="V1108" s="830" t="s">
        <v>520</v>
      </c>
      <c r="W1108" s="830" t="s">
        <v>2165</v>
      </c>
    </row>
    <row r="1109" spans="22:23">
      <c r="V1109" s="830" t="s">
        <v>520</v>
      </c>
      <c r="W1109" s="830" t="s">
        <v>632</v>
      </c>
    </row>
    <row r="1110" spans="22:23">
      <c r="V1110" s="830" t="s">
        <v>520</v>
      </c>
      <c r="W1110" s="830" t="s">
        <v>1039</v>
      </c>
    </row>
    <row r="1111" spans="22:23">
      <c r="V1111" s="830" t="s">
        <v>520</v>
      </c>
      <c r="W1111" s="830" t="s">
        <v>1901</v>
      </c>
    </row>
    <row r="1112" spans="22:23">
      <c r="V1112" s="830" t="s">
        <v>520</v>
      </c>
      <c r="W1112" s="830" t="s">
        <v>1475</v>
      </c>
    </row>
    <row r="1113" spans="22:23">
      <c r="V1113" s="830" t="s">
        <v>520</v>
      </c>
      <c r="W1113" s="830" t="s">
        <v>1720</v>
      </c>
    </row>
    <row r="1114" spans="22:23">
      <c r="V1114" s="830" t="s">
        <v>520</v>
      </c>
      <c r="W1114" s="830" t="s">
        <v>2166</v>
      </c>
    </row>
    <row r="1115" spans="22:23">
      <c r="V1115" s="830" t="s">
        <v>520</v>
      </c>
      <c r="W1115" s="830" t="s">
        <v>1617</v>
      </c>
    </row>
    <row r="1116" spans="22:23">
      <c r="V1116" s="830" t="s">
        <v>520</v>
      </c>
      <c r="W1116" s="830" t="s">
        <v>186</v>
      </c>
    </row>
    <row r="1117" spans="22:23">
      <c r="V1117" s="830" t="s">
        <v>520</v>
      </c>
      <c r="W1117" s="830" t="s">
        <v>2167</v>
      </c>
    </row>
    <row r="1118" spans="22:23">
      <c r="V1118" s="830" t="s">
        <v>520</v>
      </c>
      <c r="W1118" s="830" t="s">
        <v>1591</v>
      </c>
    </row>
    <row r="1119" spans="22:23">
      <c r="V1119" s="830" t="s">
        <v>520</v>
      </c>
      <c r="W1119" s="830" t="s">
        <v>2168</v>
      </c>
    </row>
    <row r="1120" spans="22:23">
      <c r="V1120" s="830" t="s">
        <v>520</v>
      </c>
      <c r="W1120" s="830" t="s">
        <v>2169</v>
      </c>
    </row>
    <row r="1121" spans="22:23">
      <c r="V1121" s="830" t="s">
        <v>1143</v>
      </c>
      <c r="W1121" s="830" t="s">
        <v>1027</v>
      </c>
    </row>
    <row r="1122" spans="22:23">
      <c r="V1122" s="830" t="s">
        <v>1143</v>
      </c>
      <c r="W1122" s="830" t="s">
        <v>638</v>
      </c>
    </row>
    <row r="1123" spans="22:23">
      <c r="V1123" s="830" t="s">
        <v>1143</v>
      </c>
      <c r="W1123" s="830" t="s">
        <v>1480</v>
      </c>
    </row>
    <row r="1124" spans="22:23">
      <c r="V1124" s="830" t="s">
        <v>1143</v>
      </c>
      <c r="W1124" s="830" t="s">
        <v>1373</v>
      </c>
    </row>
    <row r="1125" spans="22:23">
      <c r="V1125" s="830" t="s">
        <v>1143</v>
      </c>
      <c r="W1125" s="830" t="s">
        <v>402</v>
      </c>
    </row>
    <row r="1126" spans="22:23">
      <c r="V1126" s="830" t="s">
        <v>1143</v>
      </c>
      <c r="W1126" s="830" t="s">
        <v>984</v>
      </c>
    </row>
    <row r="1127" spans="22:23">
      <c r="V1127" s="830" t="s">
        <v>1143</v>
      </c>
      <c r="W1127" s="830" t="s">
        <v>1646</v>
      </c>
    </row>
    <row r="1128" spans="22:23">
      <c r="V1128" s="830" t="s">
        <v>1143</v>
      </c>
      <c r="W1128" s="830" t="s">
        <v>1381</v>
      </c>
    </row>
    <row r="1129" spans="22:23">
      <c r="V1129" s="830" t="s">
        <v>1143</v>
      </c>
      <c r="W1129" s="830" t="s">
        <v>789</v>
      </c>
    </row>
    <row r="1130" spans="22:23">
      <c r="V1130" s="830" t="s">
        <v>1143</v>
      </c>
      <c r="W1130" s="830" t="s">
        <v>1340</v>
      </c>
    </row>
    <row r="1131" spans="22:23">
      <c r="V1131" s="830" t="s">
        <v>1143</v>
      </c>
      <c r="W1131" s="830" t="s">
        <v>621</v>
      </c>
    </row>
    <row r="1132" spans="22:23">
      <c r="V1132" s="830" t="s">
        <v>1143</v>
      </c>
      <c r="W1132" s="830" t="s">
        <v>1471</v>
      </c>
    </row>
    <row r="1133" spans="22:23">
      <c r="V1133" s="830" t="s">
        <v>1143</v>
      </c>
      <c r="W1133" s="830" t="s">
        <v>978</v>
      </c>
    </row>
    <row r="1134" spans="22:23">
      <c r="V1134" s="830" t="s">
        <v>1143</v>
      </c>
      <c r="W1134" s="830" t="s">
        <v>1647</v>
      </c>
    </row>
    <row r="1135" spans="22:23">
      <c r="V1135" s="830" t="s">
        <v>1143</v>
      </c>
      <c r="W1135" s="830" t="s">
        <v>1552</v>
      </c>
    </row>
    <row r="1136" spans="22:23">
      <c r="V1136" s="830" t="s">
        <v>1143</v>
      </c>
      <c r="W1136" s="830" t="s">
        <v>1382</v>
      </c>
    </row>
    <row r="1137" spans="22:23">
      <c r="V1137" s="830" t="s">
        <v>1143</v>
      </c>
      <c r="W1137" s="830" t="s">
        <v>824</v>
      </c>
    </row>
    <row r="1138" spans="22:23">
      <c r="V1138" s="830" t="s">
        <v>1143</v>
      </c>
      <c r="W1138" s="830" t="s">
        <v>1134</v>
      </c>
    </row>
    <row r="1139" spans="22:23">
      <c r="V1139" s="830" t="s">
        <v>1143</v>
      </c>
      <c r="W1139" s="830" t="s">
        <v>1187</v>
      </c>
    </row>
    <row r="1140" spans="22:23">
      <c r="V1140" s="830" t="s">
        <v>1143</v>
      </c>
      <c r="W1140" s="830" t="s">
        <v>546</v>
      </c>
    </row>
    <row r="1141" spans="22:23">
      <c r="V1141" s="830" t="s">
        <v>1143</v>
      </c>
      <c r="W1141" s="830" t="s">
        <v>1388</v>
      </c>
    </row>
    <row r="1142" spans="22:23">
      <c r="V1142" s="830" t="s">
        <v>1143</v>
      </c>
      <c r="W1142" s="830" t="s">
        <v>1653</v>
      </c>
    </row>
    <row r="1143" spans="22:23">
      <c r="V1143" s="830" t="s">
        <v>1143</v>
      </c>
      <c r="W1143" s="830" t="s">
        <v>1657</v>
      </c>
    </row>
    <row r="1144" spans="22:23">
      <c r="V1144" s="830" t="s">
        <v>1143</v>
      </c>
      <c r="W1144" s="830" t="s">
        <v>1347</v>
      </c>
    </row>
    <row r="1145" spans="22:23">
      <c r="V1145" s="830" t="s">
        <v>1143</v>
      </c>
      <c r="W1145" s="830" t="s">
        <v>313</v>
      </c>
    </row>
    <row r="1146" spans="22:23">
      <c r="V1146" s="830" t="s">
        <v>1143</v>
      </c>
      <c r="W1146" s="830" t="s">
        <v>1194</v>
      </c>
    </row>
    <row r="1147" spans="22:23">
      <c r="V1147" s="830" t="s">
        <v>1143</v>
      </c>
      <c r="W1147" s="830" t="s">
        <v>1660</v>
      </c>
    </row>
    <row r="1148" spans="22:23">
      <c r="V1148" s="830" t="s">
        <v>1143</v>
      </c>
      <c r="W1148" s="830" t="s">
        <v>1435</v>
      </c>
    </row>
    <row r="1149" spans="22:23">
      <c r="V1149" s="830" t="s">
        <v>1143</v>
      </c>
      <c r="W1149" s="830" t="s">
        <v>1663</v>
      </c>
    </row>
    <row r="1150" spans="22:23">
      <c r="V1150" s="830" t="s">
        <v>1143</v>
      </c>
      <c r="W1150" s="830" t="s">
        <v>544</v>
      </c>
    </row>
    <row r="1151" spans="22:23">
      <c r="V1151" s="830" t="s">
        <v>1143</v>
      </c>
      <c r="W1151" s="830" t="s">
        <v>1481</v>
      </c>
    </row>
    <row r="1152" spans="22:23">
      <c r="V1152" s="830" t="s">
        <v>1143</v>
      </c>
      <c r="W1152" s="830" t="s">
        <v>812</v>
      </c>
    </row>
    <row r="1153" spans="22:23">
      <c r="V1153" s="830" t="s">
        <v>1143</v>
      </c>
      <c r="W1153" s="830" t="s">
        <v>1419</v>
      </c>
    </row>
    <row r="1154" spans="22:23">
      <c r="V1154" s="830" t="s">
        <v>1143</v>
      </c>
      <c r="W1154" s="830" t="s">
        <v>757</v>
      </c>
    </row>
    <row r="1155" spans="22:23">
      <c r="V1155" s="830" t="s">
        <v>1143</v>
      </c>
      <c r="W1155" s="830" t="s">
        <v>126</v>
      </c>
    </row>
    <row r="1156" spans="22:23">
      <c r="V1156" s="830" t="s">
        <v>1143</v>
      </c>
      <c r="W1156" s="830" t="s">
        <v>1454</v>
      </c>
    </row>
    <row r="1157" spans="22:23">
      <c r="V1157" s="830" t="s">
        <v>1143</v>
      </c>
      <c r="W1157" s="830" t="s">
        <v>1673</v>
      </c>
    </row>
    <row r="1158" spans="22:23">
      <c r="V1158" s="830" t="s">
        <v>1143</v>
      </c>
      <c r="W1158" s="830" t="s">
        <v>1675</v>
      </c>
    </row>
    <row r="1159" spans="22:23">
      <c r="V1159" s="830" t="s">
        <v>1143</v>
      </c>
      <c r="W1159" s="830" t="s">
        <v>1676</v>
      </c>
    </row>
    <row r="1160" spans="22:23">
      <c r="V1160" s="830" t="s">
        <v>1143</v>
      </c>
      <c r="W1160" s="830" t="s">
        <v>1680</v>
      </c>
    </row>
    <row r="1161" spans="22:23">
      <c r="V1161" s="830" t="s">
        <v>1143</v>
      </c>
      <c r="W1161" s="830" t="s">
        <v>1682</v>
      </c>
    </row>
    <row r="1162" spans="22:23">
      <c r="V1162" s="830" t="s">
        <v>1143</v>
      </c>
      <c r="W1162" s="830" t="s">
        <v>1070</v>
      </c>
    </row>
    <row r="1163" spans="22:23">
      <c r="V1163" s="830" t="s">
        <v>1143</v>
      </c>
      <c r="W1163" s="830" t="s">
        <v>1685</v>
      </c>
    </row>
    <row r="1164" spans="22:23">
      <c r="V1164" s="830" t="s">
        <v>1158</v>
      </c>
      <c r="W1164" s="830" t="s">
        <v>1390</v>
      </c>
    </row>
    <row r="1165" spans="22:23">
      <c r="V1165" s="830" t="s">
        <v>1158</v>
      </c>
      <c r="W1165" s="830" t="s">
        <v>1902</v>
      </c>
    </row>
    <row r="1166" spans="22:23">
      <c r="V1166" s="830" t="s">
        <v>1158</v>
      </c>
      <c r="W1166" s="830" t="s">
        <v>304</v>
      </c>
    </row>
    <row r="1167" spans="22:23">
      <c r="V1167" s="830" t="s">
        <v>1158</v>
      </c>
      <c r="W1167" s="830" t="s">
        <v>386</v>
      </c>
    </row>
    <row r="1168" spans="22:23">
      <c r="V1168" s="830" t="s">
        <v>1158</v>
      </c>
      <c r="W1168" s="830" t="s">
        <v>396</v>
      </c>
    </row>
    <row r="1169" spans="22:23">
      <c r="V1169" s="830" t="s">
        <v>1158</v>
      </c>
      <c r="W1169" s="830" t="s">
        <v>1236</v>
      </c>
    </row>
    <row r="1170" spans="22:23">
      <c r="V1170" s="830" t="s">
        <v>1158</v>
      </c>
      <c r="W1170" s="830" t="s">
        <v>8</v>
      </c>
    </row>
    <row r="1171" spans="22:23">
      <c r="V1171" s="830" t="s">
        <v>1158</v>
      </c>
      <c r="W1171" s="830" t="s">
        <v>1279</v>
      </c>
    </row>
    <row r="1172" spans="22:23">
      <c r="V1172" s="830" t="s">
        <v>1158</v>
      </c>
      <c r="W1172" s="830" t="s">
        <v>1533</v>
      </c>
    </row>
    <row r="1173" spans="22:23">
      <c r="V1173" s="830" t="s">
        <v>1158</v>
      </c>
      <c r="W1173" s="830" t="s">
        <v>2170</v>
      </c>
    </row>
    <row r="1174" spans="22:23">
      <c r="V1174" s="830" t="s">
        <v>1158</v>
      </c>
      <c r="W1174" s="830" t="s">
        <v>1668</v>
      </c>
    </row>
    <row r="1175" spans="22:23">
      <c r="V1175" s="830" t="s">
        <v>1158</v>
      </c>
      <c r="W1175" s="830" t="s">
        <v>1479</v>
      </c>
    </row>
    <row r="1176" spans="22:23">
      <c r="V1176" s="830" t="s">
        <v>1158</v>
      </c>
      <c r="W1176" s="830" t="s">
        <v>2171</v>
      </c>
    </row>
    <row r="1177" spans="22:23">
      <c r="V1177" s="830" t="s">
        <v>1158</v>
      </c>
      <c r="W1177" s="830" t="s">
        <v>1352</v>
      </c>
    </row>
    <row r="1178" spans="22:23">
      <c r="V1178" s="830" t="s">
        <v>1158</v>
      </c>
      <c r="W1178" s="830" t="s">
        <v>1905</v>
      </c>
    </row>
    <row r="1179" spans="22:23">
      <c r="V1179" s="830" t="s">
        <v>1158</v>
      </c>
      <c r="W1179" s="830" t="s">
        <v>1907</v>
      </c>
    </row>
    <row r="1180" spans="22:23">
      <c r="V1180" s="830" t="s">
        <v>1158</v>
      </c>
      <c r="W1180" s="830" t="s">
        <v>942</v>
      </c>
    </row>
    <row r="1181" spans="22:23">
      <c r="V1181" s="830" t="s">
        <v>1158</v>
      </c>
      <c r="W1181" s="830" t="s">
        <v>1883</v>
      </c>
    </row>
    <row r="1182" spans="22:23">
      <c r="V1182" s="830" t="s">
        <v>1158</v>
      </c>
      <c r="W1182" s="830" t="s">
        <v>670</v>
      </c>
    </row>
    <row r="1183" spans="22:23">
      <c r="V1183" s="830" t="s">
        <v>1158</v>
      </c>
      <c r="W1183" s="830" t="s">
        <v>2173</v>
      </c>
    </row>
    <row r="1184" spans="22:23">
      <c r="V1184" s="830" t="s">
        <v>1158</v>
      </c>
      <c r="W1184" s="830" t="s">
        <v>259</v>
      </c>
    </row>
    <row r="1185" spans="22:23">
      <c r="V1185" s="830" t="s">
        <v>1158</v>
      </c>
      <c r="W1185" s="830" t="s">
        <v>283</v>
      </c>
    </row>
    <row r="1186" spans="22:23">
      <c r="V1186" s="830" t="s">
        <v>1158</v>
      </c>
      <c r="W1186" s="830" t="s">
        <v>2174</v>
      </c>
    </row>
    <row r="1187" spans="22:23">
      <c r="V1187" s="830" t="s">
        <v>1158</v>
      </c>
      <c r="W1187" s="830" t="s">
        <v>1203</v>
      </c>
    </row>
    <row r="1188" spans="22:23">
      <c r="V1188" s="830" t="s">
        <v>1158</v>
      </c>
      <c r="W1188" s="830" t="s">
        <v>1337</v>
      </c>
    </row>
    <row r="1189" spans="22:23">
      <c r="V1189" s="830" t="s">
        <v>1158</v>
      </c>
      <c r="W1189" s="830" t="s">
        <v>1503</v>
      </c>
    </row>
    <row r="1190" spans="22:23">
      <c r="V1190" s="830" t="s">
        <v>1158</v>
      </c>
      <c r="W1190" s="830" t="s">
        <v>2175</v>
      </c>
    </row>
    <row r="1191" spans="22:23">
      <c r="V1191" s="830" t="s">
        <v>1158</v>
      </c>
      <c r="W1191" s="830" t="s">
        <v>2176</v>
      </c>
    </row>
    <row r="1192" spans="22:23">
      <c r="V1192" s="830" t="s">
        <v>1158</v>
      </c>
      <c r="W1192" s="830" t="s">
        <v>938</v>
      </c>
    </row>
    <row r="1193" spans="22:23">
      <c r="V1193" s="830" t="s">
        <v>1158</v>
      </c>
      <c r="W1193" s="830" t="s">
        <v>1687</v>
      </c>
    </row>
    <row r="1194" spans="22:23">
      <c r="V1194" s="830" t="s">
        <v>1158</v>
      </c>
      <c r="W1194" s="830" t="s">
        <v>2177</v>
      </c>
    </row>
    <row r="1195" spans="22:23">
      <c r="V1195" s="830" t="s">
        <v>1158</v>
      </c>
      <c r="W1195" s="830" t="s">
        <v>1786</v>
      </c>
    </row>
    <row r="1196" spans="22:23">
      <c r="V1196" s="830" t="s">
        <v>1158</v>
      </c>
      <c r="W1196" s="830" t="s">
        <v>1910</v>
      </c>
    </row>
    <row r="1197" spans="22:23">
      <c r="V1197" s="830" t="s">
        <v>1158</v>
      </c>
      <c r="W1197" s="830" t="s">
        <v>1274</v>
      </c>
    </row>
    <row r="1198" spans="22:23">
      <c r="V1198" s="830" t="s">
        <v>1158</v>
      </c>
      <c r="W1198" s="830" t="s">
        <v>2179</v>
      </c>
    </row>
    <row r="1199" spans="22:23">
      <c r="V1199" s="830" t="s">
        <v>1158</v>
      </c>
      <c r="W1199" s="830" t="s">
        <v>2180</v>
      </c>
    </row>
    <row r="1200" spans="22:23">
      <c r="V1200" s="830" t="s">
        <v>1158</v>
      </c>
      <c r="W1200" s="830" t="s">
        <v>1682</v>
      </c>
    </row>
    <row r="1201" spans="22:23">
      <c r="V1201" s="830" t="s">
        <v>1158</v>
      </c>
      <c r="W1201" s="830" t="s">
        <v>2181</v>
      </c>
    </row>
    <row r="1202" spans="22:23">
      <c r="V1202" s="830" t="s">
        <v>1158</v>
      </c>
      <c r="W1202" s="830" t="s">
        <v>1894</v>
      </c>
    </row>
    <row r="1203" spans="22:23">
      <c r="V1203" s="830" t="s">
        <v>1158</v>
      </c>
      <c r="W1203" s="830" t="s">
        <v>325</v>
      </c>
    </row>
    <row r="1204" spans="22:23">
      <c r="V1204" s="830" t="s">
        <v>1158</v>
      </c>
      <c r="W1204" s="830" t="s">
        <v>2182</v>
      </c>
    </row>
    <row r="1205" spans="22:23">
      <c r="V1205" s="830" t="s">
        <v>641</v>
      </c>
      <c r="W1205" s="830" t="s">
        <v>1690</v>
      </c>
    </row>
    <row r="1206" spans="22:23">
      <c r="V1206" s="830" t="s">
        <v>641</v>
      </c>
      <c r="W1206" s="830" t="s">
        <v>223</v>
      </c>
    </row>
    <row r="1207" spans="22:23">
      <c r="V1207" s="830" t="s">
        <v>641</v>
      </c>
      <c r="W1207" s="830" t="s">
        <v>1692</v>
      </c>
    </row>
    <row r="1208" spans="22:23">
      <c r="V1208" s="830" t="s">
        <v>641</v>
      </c>
      <c r="W1208" s="830" t="s">
        <v>1911</v>
      </c>
    </row>
    <row r="1209" spans="22:23">
      <c r="V1209" s="830" t="s">
        <v>641</v>
      </c>
      <c r="W1209" s="830" t="s">
        <v>1913</v>
      </c>
    </row>
    <row r="1210" spans="22:23">
      <c r="V1210" s="830" t="s">
        <v>641</v>
      </c>
      <c r="W1210" s="830" t="s">
        <v>1914</v>
      </c>
    </row>
    <row r="1211" spans="22:23">
      <c r="V1211" s="830" t="s">
        <v>641</v>
      </c>
      <c r="W1211" s="830" t="s">
        <v>1573</v>
      </c>
    </row>
    <row r="1212" spans="22:23">
      <c r="V1212" s="830" t="s">
        <v>641</v>
      </c>
      <c r="W1212" s="830" t="s">
        <v>50</v>
      </c>
    </row>
    <row r="1213" spans="22:23">
      <c r="V1213" s="830" t="s">
        <v>641</v>
      </c>
      <c r="W1213" s="830" t="s">
        <v>1693</v>
      </c>
    </row>
    <row r="1214" spans="22:23">
      <c r="V1214" s="830" t="s">
        <v>641</v>
      </c>
      <c r="W1214" s="830" t="s">
        <v>1774</v>
      </c>
    </row>
    <row r="1215" spans="22:23">
      <c r="V1215" s="830" t="s">
        <v>641</v>
      </c>
      <c r="W1215" s="830" t="s">
        <v>433</v>
      </c>
    </row>
    <row r="1216" spans="22:23">
      <c r="V1216" s="830" t="s">
        <v>641</v>
      </c>
      <c r="W1216" s="830" t="s">
        <v>1915</v>
      </c>
    </row>
    <row r="1217" spans="22:23">
      <c r="V1217" s="830" t="s">
        <v>641</v>
      </c>
      <c r="W1217" s="830" t="s">
        <v>1918</v>
      </c>
    </row>
    <row r="1218" spans="22:23">
      <c r="V1218" s="830" t="s">
        <v>641</v>
      </c>
      <c r="W1218" s="830" t="s">
        <v>717</v>
      </c>
    </row>
    <row r="1219" spans="22:23">
      <c r="V1219" s="830" t="s">
        <v>641</v>
      </c>
      <c r="W1219" s="830" t="s">
        <v>636</v>
      </c>
    </row>
    <row r="1220" spans="22:23">
      <c r="V1220" s="830" t="s">
        <v>641</v>
      </c>
      <c r="W1220" s="830" t="s">
        <v>110</v>
      </c>
    </row>
    <row r="1221" spans="22:23">
      <c r="V1221" s="830" t="s">
        <v>641</v>
      </c>
      <c r="W1221" s="830" t="s">
        <v>1921</v>
      </c>
    </row>
    <row r="1222" spans="22:23">
      <c r="V1222" s="830" t="s">
        <v>641</v>
      </c>
      <c r="W1222" s="830" t="s">
        <v>1816</v>
      </c>
    </row>
    <row r="1223" spans="22:23">
      <c r="V1223" s="830" t="s">
        <v>641</v>
      </c>
      <c r="W1223" s="830" t="s">
        <v>1922</v>
      </c>
    </row>
    <row r="1224" spans="22:23">
      <c r="V1224" s="830" t="s">
        <v>641</v>
      </c>
      <c r="W1224" s="830" t="s">
        <v>1923</v>
      </c>
    </row>
    <row r="1225" spans="22:23">
      <c r="V1225" s="830" t="s">
        <v>641</v>
      </c>
      <c r="W1225" s="830" t="s">
        <v>129</v>
      </c>
    </row>
    <row r="1226" spans="22:23">
      <c r="V1226" s="830" t="s">
        <v>641</v>
      </c>
      <c r="W1226" s="830" t="s">
        <v>295</v>
      </c>
    </row>
    <row r="1227" spans="22:23">
      <c r="V1227" s="830" t="s">
        <v>641</v>
      </c>
      <c r="W1227" s="830" t="s">
        <v>2183</v>
      </c>
    </row>
    <row r="1228" spans="22:23">
      <c r="V1228" s="830" t="s">
        <v>641</v>
      </c>
      <c r="W1228" s="830" t="s">
        <v>1861</v>
      </c>
    </row>
    <row r="1229" spans="22:23">
      <c r="V1229" s="830" t="s">
        <v>641</v>
      </c>
      <c r="W1229" s="830" t="s">
        <v>265</v>
      </c>
    </row>
    <row r="1230" spans="22:23">
      <c r="V1230" s="830" t="s">
        <v>641</v>
      </c>
      <c r="W1230" s="830" t="s">
        <v>1446</v>
      </c>
    </row>
    <row r="1231" spans="22:23">
      <c r="V1231" s="830" t="s">
        <v>641</v>
      </c>
      <c r="W1231" s="830" t="s">
        <v>1928</v>
      </c>
    </row>
    <row r="1232" spans="22:23">
      <c r="V1232" s="830" t="s">
        <v>641</v>
      </c>
      <c r="W1232" s="830" t="s">
        <v>1329</v>
      </c>
    </row>
    <row r="1233" spans="22:23">
      <c r="V1233" s="830" t="s">
        <v>641</v>
      </c>
      <c r="W1233" s="830" t="s">
        <v>2184</v>
      </c>
    </row>
    <row r="1234" spans="22:23">
      <c r="V1234" s="830" t="s">
        <v>641</v>
      </c>
      <c r="W1234" s="830" t="s">
        <v>693</v>
      </c>
    </row>
    <row r="1235" spans="22:23">
      <c r="V1235" s="830" t="s">
        <v>641</v>
      </c>
      <c r="W1235" s="830" t="s">
        <v>257</v>
      </c>
    </row>
    <row r="1236" spans="22:23">
      <c r="V1236" s="830" t="s">
        <v>641</v>
      </c>
      <c r="W1236" s="830" t="s">
        <v>591</v>
      </c>
    </row>
    <row r="1237" spans="22:23">
      <c r="V1237" s="830" t="s">
        <v>641</v>
      </c>
      <c r="W1237" s="830" t="s">
        <v>2185</v>
      </c>
    </row>
    <row r="1238" spans="22:23">
      <c r="V1238" s="830" t="s">
        <v>641</v>
      </c>
      <c r="W1238" s="830" t="s">
        <v>947</v>
      </c>
    </row>
    <row r="1239" spans="22:23">
      <c r="V1239" s="830" t="s">
        <v>641</v>
      </c>
      <c r="W1239" s="830" t="s">
        <v>897</v>
      </c>
    </row>
    <row r="1240" spans="22:23">
      <c r="V1240" s="830" t="s">
        <v>641</v>
      </c>
      <c r="W1240" s="830" t="s">
        <v>2114</v>
      </c>
    </row>
    <row r="1241" spans="22:23">
      <c r="V1241" s="830" t="s">
        <v>641</v>
      </c>
      <c r="W1241" s="830" t="s">
        <v>1301</v>
      </c>
    </row>
    <row r="1242" spans="22:23">
      <c r="V1242" s="830" t="s">
        <v>641</v>
      </c>
      <c r="W1242" s="830" t="s">
        <v>2088</v>
      </c>
    </row>
    <row r="1243" spans="22:23">
      <c r="V1243" s="830" t="s">
        <v>641</v>
      </c>
      <c r="W1243" s="830" t="s">
        <v>37</v>
      </c>
    </row>
    <row r="1244" spans="22:23">
      <c r="V1244" s="830" t="s">
        <v>1178</v>
      </c>
      <c r="W1244" s="830" t="s">
        <v>1696</v>
      </c>
    </row>
    <row r="1245" spans="22:23">
      <c r="V1245" s="830" t="s">
        <v>1178</v>
      </c>
      <c r="W1245" s="830" t="s">
        <v>2186</v>
      </c>
    </row>
    <row r="1246" spans="22:23">
      <c r="V1246" s="830" t="s">
        <v>1178</v>
      </c>
      <c r="W1246" s="830" t="s">
        <v>1228</v>
      </c>
    </row>
    <row r="1247" spans="22:23">
      <c r="V1247" s="830" t="s">
        <v>1178</v>
      </c>
      <c r="W1247" s="830" t="s">
        <v>461</v>
      </c>
    </row>
    <row r="1248" spans="22:23">
      <c r="V1248" s="830" t="s">
        <v>1178</v>
      </c>
      <c r="W1248" s="830" t="s">
        <v>2187</v>
      </c>
    </row>
    <row r="1249" spans="22:23">
      <c r="V1249" s="830" t="s">
        <v>1178</v>
      </c>
      <c r="W1249" s="830" t="s">
        <v>2188</v>
      </c>
    </row>
    <row r="1250" spans="22:23">
      <c r="V1250" s="830" t="s">
        <v>1178</v>
      </c>
      <c r="W1250" s="830" t="s">
        <v>642</v>
      </c>
    </row>
    <row r="1251" spans="22:23">
      <c r="V1251" s="830" t="s">
        <v>1178</v>
      </c>
      <c r="W1251" s="830" t="s">
        <v>1588</v>
      </c>
    </row>
    <row r="1252" spans="22:23">
      <c r="V1252" s="830" t="s">
        <v>1178</v>
      </c>
      <c r="W1252" s="830" t="s">
        <v>1110</v>
      </c>
    </row>
    <row r="1253" spans="22:23">
      <c r="V1253" s="830" t="s">
        <v>1178</v>
      </c>
      <c r="W1253" s="830" t="s">
        <v>846</v>
      </c>
    </row>
    <row r="1254" spans="22:23">
      <c r="V1254" s="830" t="s">
        <v>1178</v>
      </c>
      <c r="W1254" s="830" t="s">
        <v>2189</v>
      </c>
    </row>
    <row r="1255" spans="22:23">
      <c r="V1255" s="830" t="s">
        <v>1178</v>
      </c>
      <c r="W1255" s="830" t="s">
        <v>1752</v>
      </c>
    </row>
    <row r="1256" spans="22:23">
      <c r="V1256" s="830" t="s">
        <v>1178</v>
      </c>
      <c r="W1256" s="830" t="s">
        <v>2153</v>
      </c>
    </row>
    <row r="1257" spans="22:23">
      <c r="V1257" s="830" t="s">
        <v>1178</v>
      </c>
      <c r="W1257" s="830" t="s">
        <v>481</v>
      </c>
    </row>
    <row r="1258" spans="22:23">
      <c r="V1258" s="830" t="s">
        <v>1178</v>
      </c>
      <c r="W1258" s="830" t="s">
        <v>2070</v>
      </c>
    </row>
    <row r="1259" spans="22:23">
      <c r="V1259" s="830" t="s">
        <v>1178</v>
      </c>
      <c r="W1259" s="830" t="s">
        <v>330</v>
      </c>
    </row>
    <row r="1260" spans="22:23">
      <c r="V1260" s="830" t="s">
        <v>1178</v>
      </c>
      <c r="W1260" s="830" t="s">
        <v>675</v>
      </c>
    </row>
    <row r="1261" spans="22:23">
      <c r="V1261" s="830" t="s">
        <v>1178</v>
      </c>
      <c r="W1261" s="830" t="s">
        <v>534</v>
      </c>
    </row>
    <row r="1262" spans="22:23">
      <c r="V1262" s="830" t="s">
        <v>1178</v>
      </c>
      <c r="W1262" s="830" t="s">
        <v>1963</v>
      </c>
    </row>
    <row r="1263" spans="22:23">
      <c r="V1263" s="830" t="s">
        <v>1178</v>
      </c>
      <c r="W1263" s="830" t="s">
        <v>1585</v>
      </c>
    </row>
    <row r="1264" spans="22:23">
      <c r="V1264" s="830" t="s">
        <v>1178</v>
      </c>
      <c r="W1264" s="830" t="s">
        <v>1489</v>
      </c>
    </row>
    <row r="1265" spans="22:23">
      <c r="V1265" s="830" t="s">
        <v>1178</v>
      </c>
      <c r="W1265" s="830" t="s">
        <v>1467</v>
      </c>
    </row>
    <row r="1266" spans="22:23">
      <c r="V1266" s="830" t="s">
        <v>1178</v>
      </c>
      <c r="W1266" s="830" t="s">
        <v>2190</v>
      </c>
    </row>
    <row r="1267" spans="22:23">
      <c r="V1267" s="830" t="s">
        <v>1178</v>
      </c>
      <c r="W1267" s="830" t="s">
        <v>1797</v>
      </c>
    </row>
    <row r="1268" spans="22:23">
      <c r="V1268" s="830" t="s">
        <v>1178</v>
      </c>
      <c r="W1268" s="830" t="s">
        <v>800</v>
      </c>
    </row>
    <row r="1269" spans="22:23">
      <c r="V1269" s="830" t="s">
        <v>1178</v>
      </c>
      <c r="W1269" s="830" t="s">
        <v>2192</v>
      </c>
    </row>
    <row r="1270" spans="22:23">
      <c r="V1270" s="830" t="s">
        <v>1178</v>
      </c>
      <c r="W1270" s="830" t="s">
        <v>566</v>
      </c>
    </row>
    <row r="1271" spans="22:23">
      <c r="V1271" s="830" t="s">
        <v>1178</v>
      </c>
      <c r="W1271" s="830" t="s">
        <v>2084</v>
      </c>
    </row>
    <row r="1272" spans="22:23">
      <c r="V1272" s="830" t="s">
        <v>1178</v>
      </c>
      <c r="W1272" s="830" t="s">
        <v>2193</v>
      </c>
    </row>
    <row r="1273" spans="22:23">
      <c r="V1273" s="830" t="s">
        <v>1178</v>
      </c>
      <c r="W1273" s="830" t="s">
        <v>925</v>
      </c>
    </row>
    <row r="1274" spans="22:23">
      <c r="V1274" s="830" t="s">
        <v>1185</v>
      </c>
      <c r="W1274" s="830" t="s">
        <v>2195</v>
      </c>
    </row>
    <row r="1275" spans="22:23">
      <c r="V1275" s="830" t="s">
        <v>1185</v>
      </c>
      <c r="W1275" s="830" t="s">
        <v>1665</v>
      </c>
    </row>
    <row r="1276" spans="22:23">
      <c r="V1276" s="830" t="s">
        <v>1185</v>
      </c>
      <c r="W1276" s="830" t="s">
        <v>2196</v>
      </c>
    </row>
    <row r="1277" spans="22:23">
      <c r="V1277" s="830" t="s">
        <v>1185</v>
      </c>
      <c r="W1277" s="830" t="s">
        <v>1234</v>
      </c>
    </row>
    <row r="1278" spans="22:23">
      <c r="V1278" s="830" t="s">
        <v>1185</v>
      </c>
      <c r="W1278" s="830" t="s">
        <v>1563</v>
      </c>
    </row>
    <row r="1279" spans="22:23">
      <c r="V1279" s="830" t="s">
        <v>1185</v>
      </c>
      <c r="W1279" s="830" t="s">
        <v>527</v>
      </c>
    </row>
    <row r="1280" spans="22:23">
      <c r="V1280" s="830" t="s">
        <v>1185</v>
      </c>
      <c r="W1280" s="830" t="s">
        <v>1764</v>
      </c>
    </row>
    <row r="1281" spans="22:23">
      <c r="V1281" s="830" t="s">
        <v>1185</v>
      </c>
      <c r="W1281" s="830" t="s">
        <v>1257</v>
      </c>
    </row>
    <row r="1282" spans="22:23">
      <c r="V1282" s="830" t="s">
        <v>1185</v>
      </c>
      <c r="W1282" s="830" t="s">
        <v>1973</v>
      </c>
    </row>
    <row r="1283" spans="22:23">
      <c r="V1283" s="830" t="s">
        <v>1185</v>
      </c>
      <c r="W1283" s="830" t="s">
        <v>451</v>
      </c>
    </row>
    <row r="1284" spans="22:23">
      <c r="V1284" s="830" t="s">
        <v>1185</v>
      </c>
      <c r="W1284" s="830" t="s">
        <v>1103</v>
      </c>
    </row>
    <row r="1285" spans="22:23">
      <c r="V1285" s="830" t="s">
        <v>1185</v>
      </c>
      <c r="W1285" s="830" t="s">
        <v>2197</v>
      </c>
    </row>
    <row r="1286" spans="22:23">
      <c r="V1286" s="830" t="s">
        <v>1185</v>
      </c>
      <c r="W1286" s="830" t="s">
        <v>2198</v>
      </c>
    </row>
    <row r="1287" spans="22:23">
      <c r="V1287" s="830" t="s">
        <v>1185</v>
      </c>
      <c r="W1287" s="830" t="s">
        <v>2199</v>
      </c>
    </row>
    <row r="1288" spans="22:23">
      <c r="V1288" s="830" t="s">
        <v>1185</v>
      </c>
      <c r="W1288" s="830" t="s">
        <v>1288</v>
      </c>
    </row>
    <row r="1289" spans="22:23">
      <c r="V1289" s="830" t="s">
        <v>1185</v>
      </c>
      <c r="W1289" s="830" t="s">
        <v>503</v>
      </c>
    </row>
    <row r="1290" spans="22:23">
      <c r="V1290" s="830" t="s">
        <v>1185</v>
      </c>
      <c r="W1290" s="830" t="s">
        <v>2200</v>
      </c>
    </row>
    <row r="1291" spans="22:23">
      <c r="V1291" s="830" t="s">
        <v>1185</v>
      </c>
      <c r="W1291" s="830" t="s">
        <v>1219</v>
      </c>
    </row>
    <row r="1292" spans="22:23">
      <c r="V1292" s="830" t="s">
        <v>1185</v>
      </c>
      <c r="W1292" s="830" t="s">
        <v>2201</v>
      </c>
    </row>
    <row r="1293" spans="22:23">
      <c r="V1293" s="830" t="s">
        <v>1192</v>
      </c>
      <c r="W1293" s="830" t="s">
        <v>2202</v>
      </c>
    </row>
    <row r="1294" spans="22:23">
      <c r="V1294" s="830" t="s">
        <v>1192</v>
      </c>
      <c r="W1294" s="830" t="s">
        <v>2203</v>
      </c>
    </row>
    <row r="1295" spans="22:23">
      <c r="V1295" s="830" t="s">
        <v>1192</v>
      </c>
      <c r="W1295" s="830" t="s">
        <v>2204</v>
      </c>
    </row>
    <row r="1296" spans="22:23">
      <c r="V1296" s="830" t="s">
        <v>1192</v>
      </c>
      <c r="W1296" s="830" t="s">
        <v>1924</v>
      </c>
    </row>
    <row r="1297" spans="22:23">
      <c r="V1297" s="830" t="s">
        <v>1192</v>
      </c>
      <c r="W1297" s="830" t="s">
        <v>1166</v>
      </c>
    </row>
    <row r="1298" spans="22:23">
      <c r="V1298" s="830" t="s">
        <v>1192</v>
      </c>
      <c r="W1298" s="830" t="s">
        <v>2206</v>
      </c>
    </row>
    <row r="1299" spans="22:23">
      <c r="V1299" s="830" t="s">
        <v>1192</v>
      </c>
      <c r="W1299" s="830" t="s">
        <v>2207</v>
      </c>
    </row>
    <row r="1300" spans="22:23">
      <c r="V1300" s="830" t="s">
        <v>1192</v>
      </c>
      <c r="W1300" s="830" t="s">
        <v>592</v>
      </c>
    </row>
    <row r="1301" spans="22:23">
      <c r="V1301" s="830" t="s">
        <v>1192</v>
      </c>
      <c r="W1301" s="830" t="s">
        <v>342</v>
      </c>
    </row>
    <row r="1302" spans="22:23">
      <c r="V1302" s="830" t="s">
        <v>1192</v>
      </c>
      <c r="W1302" s="830" t="s">
        <v>2209</v>
      </c>
    </row>
    <row r="1303" spans="22:23">
      <c r="V1303" s="830" t="s">
        <v>1192</v>
      </c>
      <c r="W1303" s="830" t="s">
        <v>2210</v>
      </c>
    </row>
    <row r="1304" spans="22:23">
      <c r="V1304" s="830" t="s">
        <v>1192</v>
      </c>
      <c r="W1304" s="830" t="s">
        <v>935</v>
      </c>
    </row>
    <row r="1305" spans="22:23">
      <c r="V1305" s="830" t="s">
        <v>1192</v>
      </c>
      <c r="W1305" s="830" t="s">
        <v>1148</v>
      </c>
    </row>
    <row r="1306" spans="22:23">
      <c r="V1306" s="830" t="s">
        <v>1192</v>
      </c>
      <c r="W1306" s="830" t="s">
        <v>1795</v>
      </c>
    </row>
    <row r="1307" spans="22:23">
      <c r="V1307" s="830" t="s">
        <v>1192</v>
      </c>
      <c r="W1307" s="830" t="s">
        <v>2211</v>
      </c>
    </row>
    <row r="1308" spans="22:23">
      <c r="V1308" s="830" t="s">
        <v>1192</v>
      </c>
      <c r="W1308" s="830" t="s">
        <v>952</v>
      </c>
    </row>
    <row r="1309" spans="22:23">
      <c r="V1309" s="830" t="s">
        <v>1192</v>
      </c>
      <c r="W1309" s="830" t="s">
        <v>784</v>
      </c>
    </row>
    <row r="1310" spans="22:23">
      <c r="V1310" s="830" t="s">
        <v>1192</v>
      </c>
      <c r="W1310" s="830" t="s">
        <v>1765</v>
      </c>
    </row>
    <row r="1311" spans="22:23">
      <c r="V1311" s="830" t="s">
        <v>1192</v>
      </c>
      <c r="W1311" s="830" t="s">
        <v>2212</v>
      </c>
    </row>
    <row r="1312" spans="22:23">
      <c r="V1312" s="830" t="s">
        <v>1207</v>
      </c>
      <c r="W1312" s="830" t="s">
        <v>1929</v>
      </c>
    </row>
    <row r="1313" spans="22:23">
      <c r="V1313" s="830" t="s">
        <v>1207</v>
      </c>
      <c r="W1313" s="830" t="s">
        <v>1121</v>
      </c>
    </row>
    <row r="1314" spans="22:23">
      <c r="V1314" s="830" t="s">
        <v>1207</v>
      </c>
      <c r="W1314" s="830" t="s">
        <v>2213</v>
      </c>
    </row>
    <row r="1315" spans="22:23">
      <c r="V1315" s="830" t="s">
        <v>1207</v>
      </c>
      <c r="W1315" s="830" t="s">
        <v>1408</v>
      </c>
    </row>
    <row r="1316" spans="22:23">
      <c r="V1316" s="830" t="s">
        <v>1207</v>
      </c>
      <c r="W1316" s="830" t="s">
        <v>781</v>
      </c>
    </row>
    <row r="1317" spans="22:23">
      <c r="V1317" s="830" t="s">
        <v>1207</v>
      </c>
      <c r="W1317" s="830" t="s">
        <v>2214</v>
      </c>
    </row>
    <row r="1318" spans="22:23">
      <c r="V1318" s="830" t="s">
        <v>1207</v>
      </c>
      <c r="W1318" s="830" t="s">
        <v>1305</v>
      </c>
    </row>
    <row r="1319" spans="22:23">
      <c r="V1319" s="830" t="s">
        <v>1207</v>
      </c>
      <c r="W1319" s="830" t="s">
        <v>1848</v>
      </c>
    </row>
    <row r="1320" spans="22:23">
      <c r="V1320" s="830" t="s">
        <v>1207</v>
      </c>
      <c r="W1320" s="830" t="s">
        <v>1964</v>
      </c>
    </row>
    <row r="1321" spans="22:23">
      <c r="V1321" s="830" t="s">
        <v>1207</v>
      </c>
      <c r="W1321" s="830" t="s">
        <v>1484</v>
      </c>
    </row>
    <row r="1322" spans="22:23">
      <c r="V1322" s="830" t="s">
        <v>1207</v>
      </c>
      <c r="W1322" s="830" t="s">
        <v>2080</v>
      </c>
    </row>
    <row r="1323" spans="22:23">
      <c r="V1323" s="830" t="s">
        <v>1207</v>
      </c>
      <c r="W1323" s="830" t="s">
        <v>2215</v>
      </c>
    </row>
    <row r="1324" spans="22:23">
      <c r="V1324" s="830" t="s">
        <v>1207</v>
      </c>
      <c r="W1324" s="830" t="s">
        <v>1217</v>
      </c>
    </row>
    <row r="1325" spans="22:23">
      <c r="V1325" s="830" t="s">
        <v>1207</v>
      </c>
      <c r="W1325" s="830" t="s">
        <v>649</v>
      </c>
    </row>
    <row r="1326" spans="22:23">
      <c r="V1326" s="830" t="s">
        <v>1207</v>
      </c>
      <c r="W1326" s="830" t="s">
        <v>443</v>
      </c>
    </row>
    <row r="1327" spans="22:23">
      <c r="V1327" s="830" t="s">
        <v>1207</v>
      </c>
      <c r="W1327" s="830" t="s">
        <v>1998</v>
      </c>
    </row>
    <row r="1328" spans="22:23">
      <c r="V1328" s="830" t="s">
        <v>1207</v>
      </c>
      <c r="W1328" s="830" t="s">
        <v>1378</v>
      </c>
    </row>
    <row r="1329" spans="22:23">
      <c r="V1329" s="830" t="s">
        <v>1207</v>
      </c>
      <c r="W1329" s="830" t="s">
        <v>1780</v>
      </c>
    </row>
    <row r="1330" spans="22:23">
      <c r="V1330" s="830" t="s">
        <v>1207</v>
      </c>
      <c r="W1330" s="830" t="s">
        <v>2216</v>
      </c>
    </row>
    <row r="1331" spans="22:23">
      <c r="V1331" s="830" t="s">
        <v>1207</v>
      </c>
      <c r="W1331" s="830" t="s">
        <v>2217</v>
      </c>
    </row>
    <row r="1332" spans="22:23">
      <c r="V1332" s="830" t="s">
        <v>1207</v>
      </c>
      <c r="W1332" s="830" t="s">
        <v>2155</v>
      </c>
    </row>
    <row r="1333" spans="22:23">
      <c r="V1333" s="830" t="s">
        <v>1207</v>
      </c>
      <c r="W1333" s="830" t="s">
        <v>2073</v>
      </c>
    </row>
    <row r="1334" spans="22:23">
      <c r="V1334" s="830" t="s">
        <v>1207</v>
      </c>
      <c r="W1334" s="830" t="s">
        <v>2218</v>
      </c>
    </row>
    <row r="1335" spans="22:23">
      <c r="V1335" s="830" t="s">
        <v>1207</v>
      </c>
      <c r="W1335" s="830" t="s">
        <v>2219</v>
      </c>
    </row>
    <row r="1336" spans="22:23">
      <c r="V1336" s="830" t="s">
        <v>1207</v>
      </c>
      <c r="W1336" s="830" t="s">
        <v>2220</v>
      </c>
    </row>
    <row r="1337" spans="22:23">
      <c r="V1337" s="830" t="s">
        <v>1207</v>
      </c>
      <c r="W1337" s="830" t="s">
        <v>516</v>
      </c>
    </row>
    <row r="1338" spans="22:23">
      <c r="V1338" s="830" t="s">
        <v>1207</v>
      </c>
      <c r="W1338" s="830" t="s">
        <v>2082</v>
      </c>
    </row>
    <row r="1339" spans="22:23">
      <c r="V1339" s="830" t="s">
        <v>1221</v>
      </c>
      <c r="W1339" s="830" t="s">
        <v>238</v>
      </c>
    </row>
    <row r="1340" spans="22:23">
      <c r="V1340" s="830" t="s">
        <v>1221</v>
      </c>
      <c r="W1340" s="830" t="s">
        <v>2221</v>
      </c>
    </row>
    <row r="1341" spans="22:23">
      <c r="V1341" s="830" t="s">
        <v>1221</v>
      </c>
      <c r="W1341" s="830" t="s">
        <v>977</v>
      </c>
    </row>
    <row r="1342" spans="22:23">
      <c r="V1342" s="830" t="s">
        <v>1221</v>
      </c>
      <c r="W1342" s="830" t="s">
        <v>2051</v>
      </c>
    </row>
    <row r="1343" spans="22:23">
      <c r="V1343" s="830" t="s">
        <v>1221</v>
      </c>
      <c r="W1343" s="830" t="s">
        <v>2222</v>
      </c>
    </row>
    <row r="1344" spans="22:23">
      <c r="V1344" s="830" t="s">
        <v>1221</v>
      </c>
      <c r="W1344" s="830" t="s">
        <v>169</v>
      </c>
    </row>
    <row r="1345" spans="22:23">
      <c r="V1345" s="830" t="s">
        <v>1221</v>
      </c>
      <c r="W1345" s="830" t="s">
        <v>324</v>
      </c>
    </row>
    <row r="1346" spans="22:23">
      <c r="V1346" s="830" t="s">
        <v>1221</v>
      </c>
      <c r="W1346" s="830" t="s">
        <v>2223</v>
      </c>
    </row>
    <row r="1347" spans="22:23">
      <c r="V1347" s="830" t="s">
        <v>1221</v>
      </c>
      <c r="W1347" s="830" t="s">
        <v>782</v>
      </c>
    </row>
    <row r="1348" spans="22:23">
      <c r="V1348" s="830" t="s">
        <v>1221</v>
      </c>
      <c r="W1348" s="830" t="s">
        <v>664</v>
      </c>
    </row>
    <row r="1349" spans="22:23">
      <c r="V1349" s="830" t="s">
        <v>1221</v>
      </c>
      <c r="W1349" s="830" t="s">
        <v>1930</v>
      </c>
    </row>
    <row r="1350" spans="22:23">
      <c r="V1350" s="830" t="s">
        <v>1221</v>
      </c>
      <c r="W1350" s="830" t="s">
        <v>1931</v>
      </c>
    </row>
    <row r="1351" spans="22:23">
      <c r="V1351" s="830" t="s">
        <v>1221</v>
      </c>
      <c r="W1351" s="830" t="s">
        <v>615</v>
      </c>
    </row>
    <row r="1352" spans="22:23">
      <c r="V1352" s="830" t="s">
        <v>1221</v>
      </c>
      <c r="W1352" s="830" t="s">
        <v>2224</v>
      </c>
    </row>
    <row r="1353" spans="22:23">
      <c r="V1353" s="830" t="s">
        <v>1221</v>
      </c>
      <c r="W1353" s="830" t="s">
        <v>1488</v>
      </c>
    </row>
    <row r="1354" spans="22:23">
      <c r="V1354" s="830" t="s">
        <v>1221</v>
      </c>
      <c r="W1354" s="830" t="s">
        <v>600</v>
      </c>
    </row>
    <row r="1355" spans="22:23">
      <c r="V1355" s="830" t="s">
        <v>1221</v>
      </c>
      <c r="W1355" s="830" t="s">
        <v>1825</v>
      </c>
    </row>
    <row r="1356" spans="22:23">
      <c r="V1356" s="830" t="s">
        <v>1221</v>
      </c>
      <c r="W1356" s="830" t="s">
        <v>1935</v>
      </c>
    </row>
    <row r="1357" spans="22:23">
      <c r="V1357" s="830" t="s">
        <v>1221</v>
      </c>
      <c r="W1357" s="830" t="s">
        <v>2164</v>
      </c>
    </row>
    <row r="1358" spans="22:23">
      <c r="V1358" s="830" t="s">
        <v>1221</v>
      </c>
      <c r="W1358" s="830" t="s">
        <v>2225</v>
      </c>
    </row>
    <row r="1359" spans="22:23">
      <c r="V1359" s="830" t="s">
        <v>1221</v>
      </c>
      <c r="W1359" s="830" t="s">
        <v>1353</v>
      </c>
    </row>
    <row r="1360" spans="22:23">
      <c r="V1360" s="830" t="s">
        <v>1221</v>
      </c>
      <c r="W1360" s="830" t="s">
        <v>2226</v>
      </c>
    </row>
    <row r="1361" spans="22:23">
      <c r="V1361" s="830" t="s">
        <v>1221</v>
      </c>
      <c r="W1361" s="830" t="s">
        <v>2227</v>
      </c>
    </row>
    <row r="1362" spans="22:23">
      <c r="V1362" s="830" t="s">
        <v>926</v>
      </c>
      <c r="W1362" s="830" t="s">
        <v>2228</v>
      </c>
    </row>
    <row r="1363" spans="22:23">
      <c r="V1363" s="830" t="s">
        <v>926</v>
      </c>
      <c r="W1363" s="830" t="s">
        <v>2229</v>
      </c>
    </row>
    <row r="1364" spans="22:23">
      <c r="V1364" s="830" t="s">
        <v>926</v>
      </c>
      <c r="W1364" s="830" t="s">
        <v>2230</v>
      </c>
    </row>
    <row r="1365" spans="22:23">
      <c r="V1365" s="830" t="s">
        <v>926</v>
      </c>
      <c r="W1365" s="830" t="s">
        <v>2231</v>
      </c>
    </row>
    <row r="1366" spans="22:23">
      <c r="V1366" s="830" t="s">
        <v>926</v>
      </c>
      <c r="W1366" s="830" t="s">
        <v>2232</v>
      </c>
    </row>
    <row r="1367" spans="22:23">
      <c r="V1367" s="830" t="s">
        <v>926</v>
      </c>
      <c r="W1367" s="830" t="s">
        <v>2233</v>
      </c>
    </row>
    <row r="1368" spans="22:23">
      <c r="V1368" s="830" t="s">
        <v>926</v>
      </c>
      <c r="W1368" s="830" t="s">
        <v>2234</v>
      </c>
    </row>
    <row r="1369" spans="22:23">
      <c r="V1369" s="830" t="s">
        <v>926</v>
      </c>
      <c r="W1369" s="830" t="s">
        <v>2235</v>
      </c>
    </row>
    <row r="1370" spans="22:23">
      <c r="V1370" s="830" t="s">
        <v>926</v>
      </c>
      <c r="W1370" s="830" t="s">
        <v>2236</v>
      </c>
    </row>
    <row r="1371" spans="22:23">
      <c r="V1371" s="830" t="s">
        <v>926</v>
      </c>
      <c r="W1371" s="830" t="s">
        <v>2237</v>
      </c>
    </row>
    <row r="1372" spans="22:23">
      <c r="V1372" s="830" t="s">
        <v>926</v>
      </c>
      <c r="W1372" s="830" t="s">
        <v>2238</v>
      </c>
    </row>
    <row r="1373" spans="22:23">
      <c r="V1373" s="830" t="s">
        <v>926</v>
      </c>
      <c r="W1373" s="830" t="s">
        <v>941</v>
      </c>
    </row>
    <row r="1374" spans="22:23">
      <c r="V1374" s="830" t="s">
        <v>926</v>
      </c>
      <c r="W1374" s="830" t="s">
        <v>2239</v>
      </c>
    </row>
    <row r="1375" spans="22:23">
      <c r="V1375" s="830" t="s">
        <v>926</v>
      </c>
      <c r="W1375" s="830" t="s">
        <v>2240</v>
      </c>
    </row>
    <row r="1376" spans="22:23">
      <c r="V1376" s="830" t="s">
        <v>926</v>
      </c>
      <c r="W1376" s="830" t="s">
        <v>1634</v>
      </c>
    </row>
    <row r="1377" spans="22:23">
      <c r="V1377" s="830" t="s">
        <v>926</v>
      </c>
      <c r="W1377" s="830" t="s">
        <v>422</v>
      </c>
    </row>
    <row r="1378" spans="22:23">
      <c r="V1378" s="830" t="s">
        <v>926</v>
      </c>
      <c r="W1378" s="830" t="s">
        <v>2116</v>
      </c>
    </row>
    <row r="1379" spans="22:23">
      <c r="V1379" s="830" t="s">
        <v>926</v>
      </c>
      <c r="W1379" s="830" t="s">
        <v>1183</v>
      </c>
    </row>
    <row r="1380" spans="22:23">
      <c r="V1380" s="830" t="s">
        <v>926</v>
      </c>
      <c r="W1380" s="830" t="s">
        <v>214</v>
      </c>
    </row>
    <row r="1381" spans="22:23">
      <c r="V1381" s="830" t="s">
        <v>579</v>
      </c>
      <c r="W1381" s="830" t="s">
        <v>1936</v>
      </c>
    </row>
    <row r="1382" spans="22:23">
      <c r="V1382" s="830" t="s">
        <v>579</v>
      </c>
      <c r="W1382" s="830" t="s">
        <v>1908</v>
      </c>
    </row>
    <row r="1383" spans="22:23">
      <c r="V1383" s="830" t="s">
        <v>579</v>
      </c>
      <c r="W1383" s="830" t="s">
        <v>2241</v>
      </c>
    </row>
    <row r="1384" spans="22:23">
      <c r="V1384" s="830" t="s">
        <v>579</v>
      </c>
      <c r="W1384" s="830" t="s">
        <v>1267</v>
      </c>
    </row>
    <row r="1385" spans="22:23">
      <c r="V1385" s="830" t="s">
        <v>579</v>
      </c>
      <c r="W1385" s="830" t="s">
        <v>2243</v>
      </c>
    </row>
    <row r="1386" spans="22:23">
      <c r="V1386" s="830" t="s">
        <v>579</v>
      </c>
      <c r="W1386" s="830" t="s">
        <v>487</v>
      </c>
    </row>
    <row r="1387" spans="22:23">
      <c r="V1387" s="830" t="s">
        <v>579</v>
      </c>
      <c r="W1387" s="830" t="s">
        <v>2244</v>
      </c>
    </row>
    <row r="1388" spans="22:23">
      <c r="V1388" s="830" t="s">
        <v>579</v>
      </c>
      <c r="W1388" s="830" t="s">
        <v>2245</v>
      </c>
    </row>
    <row r="1389" spans="22:23">
      <c r="V1389" s="830" t="s">
        <v>579</v>
      </c>
      <c r="W1389" s="830" t="s">
        <v>2246</v>
      </c>
    </row>
    <row r="1390" spans="22:23">
      <c r="V1390" s="830" t="s">
        <v>579</v>
      </c>
      <c r="W1390" s="830" t="s">
        <v>2247</v>
      </c>
    </row>
    <row r="1391" spans="22:23">
      <c r="V1391" s="830" t="s">
        <v>579</v>
      </c>
      <c r="W1391" s="830" t="s">
        <v>2248</v>
      </c>
    </row>
    <row r="1392" spans="22:23">
      <c r="V1392" s="830" t="s">
        <v>579</v>
      </c>
      <c r="W1392" s="830" t="s">
        <v>2249</v>
      </c>
    </row>
    <row r="1393" spans="22:23">
      <c r="V1393" s="830" t="s">
        <v>579</v>
      </c>
      <c r="W1393" s="830" t="s">
        <v>74</v>
      </c>
    </row>
    <row r="1394" spans="22:23">
      <c r="V1394" s="830" t="s">
        <v>579</v>
      </c>
      <c r="W1394" s="830" t="s">
        <v>1607</v>
      </c>
    </row>
    <row r="1395" spans="22:23">
      <c r="V1395" s="830" t="s">
        <v>579</v>
      </c>
      <c r="W1395" s="830" t="s">
        <v>2250</v>
      </c>
    </row>
    <row r="1396" spans="22:23">
      <c r="V1396" s="830" t="s">
        <v>579</v>
      </c>
      <c r="W1396" s="830" t="s">
        <v>2251</v>
      </c>
    </row>
    <row r="1397" spans="22:23">
      <c r="V1397" s="830" t="s">
        <v>579</v>
      </c>
      <c r="W1397" s="830" t="s">
        <v>2252</v>
      </c>
    </row>
    <row r="1398" spans="22:23">
      <c r="V1398" s="830" t="s">
        <v>579</v>
      </c>
      <c r="W1398" s="830" t="s">
        <v>2191</v>
      </c>
    </row>
    <row r="1399" spans="22:23">
      <c r="V1399" s="830" t="s">
        <v>579</v>
      </c>
      <c r="W1399" s="830" t="s">
        <v>2253</v>
      </c>
    </row>
    <row r="1400" spans="22:23">
      <c r="V1400" s="830" t="s">
        <v>579</v>
      </c>
      <c r="W1400" s="830" t="s">
        <v>2254</v>
      </c>
    </row>
    <row r="1401" spans="22:23">
      <c r="V1401" s="830" t="s">
        <v>579</v>
      </c>
      <c r="W1401" s="830" t="s">
        <v>2255</v>
      </c>
    </row>
    <row r="1402" spans="22:23">
      <c r="V1402" s="830" t="s">
        <v>579</v>
      </c>
      <c r="W1402" s="830" t="s">
        <v>2256</v>
      </c>
    </row>
    <row r="1403" spans="22:23">
      <c r="V1403" s="830" t="s">
        <v>579</v>
      </c>
      <c r="W1403" s="830" t="s">
        <v>2257</v>
      </c>
    </row>
    <row r="1404" spans="22:23">
      <c r="V1404" s="830" t="s">
        <v>579</v>
      </c>
      <c r="W1404" s="830" t="s">
        <v>2259</v>
      </c>
    </row>
    <row r="1405" spans="22:23">
      <c r="V1405" s="830" t="s">
        <v>1224</v>
      </c>
      <c r="W1405" s="830" t="s">
        <v>1937</v>
      </c>
    </row>
    <row r="1406" spans="22:23">
      <c r="V1406" s="830" t="s">
        <v>1224</v>
      </c>
      <c r="W1406" s="830" t="s">
        <v>2260</v>
      </c>
    </row>
    <row r="1407" spans="22:23">
      <c r="V1407" s="830" t="s">
        <v>1224</v>
      </c>
      <c r="W1407" s="830" t="s">
        <v>1404</v>
      </c>
    </row>
    <row r="1408" spans="22:23">
      <c r="V1408" s="830" t="s">
        <v>1224</v>
      </c>
      <c r="W1408" s="830" t="s">
        <v>2261</v>
      </c>
    </row>
    <row r="1409" spans="22:23">
      <c r="V1409" s="830" t="s">
        <v>1224</v>
      </c>
      <c r="W1409" s="830" t="s">
        <v>2262</v>
      </c>
    </row>
    <row r="1410" spans="22:23">
      <c r="V1410" s="830" t="s">
        <v>1224</v>
      </c>
      <c r="W1410" s="830" t="s">
        <v>2263</v>
      </c>
    </row>
    <row r="1411" spans="22:23">
      <c r="V1411" s="830" t="s">
        <v>1224</v>
      </c>
      <c r="W1411" s="830" t="s">
        <v>1151</v>
      </c>
    </row>
    <row r="1412" spans="22:23">
      <c r="V1412" s="830" t="s">
        <v>1224</v>
      </c>
      <c r="W1412" s="830" t="s">
        <v>1376</v>
      </c>
    </row>
    <row r="1413" spans="22:23">
      <c r="V1413" s="830" t="s">
        <v>1224</v>
      </c>
      <c r="W1413" s="830" t="s">
        <v>2264</v>
      </c>
    </row>
    <row r="1414" spans="22:23">
      <c r="V1414" s="830" t="s">
        <v>1224</v>
      </c>
      <c r="W1414" s="830" t="s">
        <v>2265</v>
      </c>
    </row>
    <row r="1415" spans="22:23">
      <c r="V1415" s="830" t="s">
        <v>1224</v>
      </c>
      <c r="W1415" s="830" t="s">
        <v>2266</v>
      </c>
    </row>
    <row r="1416" spans="22:23">
      <c r="V1416" s="830" t="s">
        <v>1224</v>
      </c>
      <c r="W1416" s="830" t="s">
        <v>1721</v>
      </c>
    </row>
    <row r="1417" spans="22:23">
      <c r="V1417" s="830" t="s">
        <v>1224</v>
      </c>
      <c r="W1417" s="830" t="s">
        <v>2267</v>
      </c>
    </row>
    <row r="1418" spans="22:23">
      <c r="V1418" s="830" t="s">
        <v>1224</v>
      </c>
      <c r="W1418" s="830" t="s">
        <v>1652</v>
      </c>
    </row>
    <row r="1419" spans="22:23">
      <c r="V1419" s="830" t="s">
        <v>1224</v>
      </c>
      <c r="W1419" s="830" t="s">
        <v>1792</v>
      </c>
    </row>
    <row r="1420" spans="22:23">
      <c r="V1420" s="830" t="s">
        <v>1224</v>
      </c>
      <c r="W1420" s="830" t="s">
        <v>2268</v>
      </c>
    </row>
    <row r="1421" spans="22:23">
      <c r="V1421" s="830" t="s">
        <v>1224</v>
      </c>
      <c r="W1421" s="830" t="s">
        <v>2172</v>
      </c>
    </row>
    <row r="1422" spans="22:23">
      <c r="V1422" s="830" t="s">
        <v>193</v>
      </c>
      <c r="W1422" s="830" t="s">
        <v>2269</v>
      </c>
    </row>
    <row r="1423" spans="22:23">
      <c r="V1423" s="830" t="s">
        <v>193</v>
      </c>
      <c r="W1423" s="830" t="s">
        <v>2270</v>
      </c>
    </row>
    <row r="1424" spans="22:23">
      <c r="V1424" s="830" t="s">
        <v>193</v>
      </c>
      <c r="W1424" s="830" t="s">
        <v>1884</v>
      </c>
    </row>
    <row r="1425" spans="22:23">
      <c r="V1425" s="830" t="s">
        <v>193</v>
      </c>
      <c r="W1425" s="830" t="s">
        <v>2271</v>
      </c>
    </row>
    <row r="1426" spans="22:23">
      <c r="V1426" s="830" t="s">
        <v>193</v>
      </c>
      <c r="W1426" s="830" t="s">
        <v>2272</v>
      </c>
    </row>
    <row r="1427" spans="22:23">
      <c r="V1427" s="830" t="s">
        <v>193</v>
      </c>
      <c r="W1427" s="830" t="s">
        <v>2273</v>
      </c>
    </row>
    <row r="1428" spans="22:23">
      <c r="V1428" s="830" t="s">
        <v>193</v>
      </c>
      <c r="W1428" s="830" t="s">
        <v>448</v>
      </c>
    </row>
    <row r="1429" spans="22:23">
      <c r="V1429" s="830" t="s">
        <v>193</v>
      </c>
      <c r="W1429" s="830" t="s">
        <v>2274</v>
      </c>
    </row>
    <row r="1430" spans="22:23">
      <c r="V1430" s="830" t="s">
        <v>193</v>
      </c>
      <c r="W1430" s="830" t="s">
        <v>2275</v>
      </c>
    </row>
    <row r="1431" spans="22:23">
      <c r="V1431" s="830" t="s">
        <v>193</v>
      </c>
      <c r="W1431" s="830" t="s">
        <v>733</v>
      </c>
    </row>
    <row r="1432" spans="22:23">
      <c r="V1432" s="830" t="s">
        <v>193</v>
      </c>
      <c r="W1432" s="830" t="s">
        <v>2276</v>
      </c>
    </row>
    <row r="1433" spans="22:23">
      <c r="V1433" s="830" t="s">
        <v>193</v>
      </c>
      <c r="W1433" s="830" t="s">
        <v>2277</v>
      </c>
    </row>
    <row r="1434" spans="22:23">
      <c r="V1434" s="830" t="s">
        <v>193</v>
      </c>
      <c r="W1434" s="830" t="s">
        <v>2278</v>
      </c>
    </row>
    <row r="1435" spans="22:23">
      <c r="V1435" s="830" t="s">
        <v>193</v>
      </c>
      <c r="W1435" s="830" t="s">
        <v>1248</v>
      </c>
    </row>
    <row r="1436" spans="22:23">
      <c r="V1436" s="830" t="s">
        <v>193</v>
      </c>
      <c r="W1436" s="830" t="s">
        <v>2279</v>
      </c>
    </row>
    <row r="1437" spans="22:23">
      <c r="V1437" s="830" t="s">
        <v>193</v>
      </c>
      <c r="W1437" s="830" t="s">
        <v>2280</v>
      </c>
    </row>
    <row r="1438" spans="22:23">
      <c r="V1438" s="830" t="s">
        <v>193</v>
      </c>
      <c r="W1438" s="830" t="s">
        <v>2281</v>
      </c>
    </row>
    <row r="1439" spans="22:23">
      <c r="V1439" s="830" t="s">
        <v>193</v>
      </c>
      <c r="W1439" s="830" t="s">
        <v>2282</v>
      </c>
    </row>
    <row r="1440" spans="22:23">
      <c r="V1440" s="830" t="s">
        <v>193</v>
      </c>
      <c r="W1440" s="830" t="s">
        <v>2242</v>
      </c>
    </row>
    <row r="1441" spans="22:23">
      <c r="V1441" s="830" t="s">
        <v>193</v>
      </c>
      <c r="W1441" s="830" t="s">
        <v>2283</v>
      </c>
    </row>
    <row r="1442" spans="22:23">
      <c r="V1442" s="830" t="s">
        <v>127</v>
      </c>
      <c r="W1442" s="830" t="s">
        <v>2284</v>
      </c>
    </row>
    <row r="1443" spans="22:23">
      <c r="V1443" s="830" t="s">
        <v>127</v>
      </c>
      <c r="W1443" s="830" t="s">
        <v>1846</v>
      </c>
    </row>
    <row r="1444" spans="22:23">
      <c r="V1444" s="830" t="s">
        <v>127</v>
      </c>
      <c r="W1444" s="830" t="s">
        <v>694</v>
      </c>
    </row>
    <row r="1445" spans="22:23">
      <c r="V1445" s="830" t="s">
        <v>127</v>
      </c>
      <c r="W1445" s="830" t="s">
        <v>2285</v>
      </c>
    </row>
    <row r="1446" spans="22:23">
      <c r="V1446" s="830" t="s">
        <v>127</v>
      </c>
      <c r="W1446" s="830" t="s">
        <v>374</v>
      </c>
    </row>
    <row r="1447" spans="22:23">
      <c r="V1447" s="830" t="s">
        <v>127</v>
      </c>
      <c r="W1447" s="830" t="s">
        <v>278</v>
      </c>
    </row>
    <row r="1448" spans="22:23">
      <c r="V1448" s="830" t="s">
        <v>127</v>
      </c>
      <c r="W1448" s="830" t="s">
        <v>1728</v>
      </c>
    </row>
    <row r="1449" spans="22:23">
      <c r="V1449" s="830" t="s">
        <v>127</v>
      </c>
      <c r="W1449" s="830" t="s">
        <v>2287</v>
      </c>
    </row>
    <row r="1450" spans="22:23">
      <c r="V1450" s="830" t="s">
        <v>127</v>
      </c>
      <c r="W1450" s="830" t="s">
        <v>2288</v>
      </c>
    </row>
    <row r="1451" spans="22:23">
      <c r="V1451" s="830" t="s">
        <v>127</v>
      </c>
      <c r="W1451" s="830" t="s">
        <v>2289</v>
      </c>
    </row>
    <row r="1452" spans="22:23">
      <c r="V1452" s="830" t="s">
        <v>127</v>
      </c>
      <c r="W1452" s="830" t="s">
        <v>2290</v>
      </c>
    </row>
    <row r="1453" spans="22:23">
      <c r="V1453" s="830" t="s">
        <v>127</v>
      </c>
      <c r="W1453" s="830" t="s">
        <v>2291</v>
      </c>
    </row>
    <row r="1454" spans="22:23">
      <c r="V1454" s="830" t="s">
        <v>127</v>
      </c>
      <c r="W1454" s="830" t="s">
        <v>2292</v>
      </c>
    </row>
    <row r="1455" spans="22:23">
      <c r="V1455" s="830" t="s">
        <v>127</v>
      </c>
      <c r="W1455" s="830" t="s">
        <v>2293</v>
      </c>
    </row>
    <row r="1456" spans="22:23">
      <c r="V1456" s="830" t="s">
        <v>127</v>
      </c>
      <c r="W1456" s="830" t="s">
        <v>370</v>
      </c>
    </row>
    <row r="1457" spans="22:23">
      <c r="V1457" s="830" t="s">
        <v>127</v>
      </c>
      <c r="W1457" s="830" t="s">
        <v>1650</v>
      </c>
    </row>
    <row r="1458" spans="22:23">
      <c r="V1458" s="830" t="s">
        <v>127</v>
      </c>
      <c r="W1458" s="830" t="s">
        <v>0</v>
      </c>
    </row>
    <row r="1459" spans="22:23">
      <c r="V1459" s="830" t="s">
        <v>127</v>
      </c>
      <c r="W1459" s="830" t="s">
        <v>2294</v>
      </c>
    </row>
    <row r="1460" spans="22:23">
      <c r="V1460" s="830" t="s">
        <v>127</v>
      </c>
      <c r="W1460" s="830" t="s">
        <v>138</v>
      </c>
    </row>
    <row r="1461" spans="22:23">
      <c r="V1461" s="830" t="s">
        <v>127</v>
      </c>
      <c r="W1461" s="830" t="s">
        <v>2295</v>
      </c>
    </row>
    <row r="1462" spans="22:23">
      <c r="V1462" s="830" t="s">
        <v>127</v>
      </c>
      <c r="W1462" s="830" t="s">
        <v>2296</v>
      </c>
    </row>
    <row r="1463" spans="22:23">
      <c r="V1463" s="830" t="s">
        <v>127</v>
      </c>
      <c r="W1463" s="830" t="s">
        <v>736</v>
      </c>
    </row>
    <row r="1464" spans="22:23">
      <c r="V1464" s="830" t="s">
        <v>127</v>
      </c>
      <c r="W1464" s="830" t="s">
        <v>2297</v>
      </c>
    </row>
    <row r="1465" spans="22:23">
      <c r="V1465" s="830" t="s">
        <v>127</v>
      </c>
      <c r="W1465" s="830" t="s">
        <v>2298</v>
      </c>
    </row>
    <row r="1466" spans="22:23">
      <c r="V1466" s="830" t="s">
        <v>127</v>
      </c>
      <c r="W1466" s="830" t="s">
        <v>2299</v>
      </c>
    </row>
    <row r="1467" spans="22:23">
      <c r="V1467" s="830" t="s">
        <v>127</v>
      </c>
      <c r="W1467" s="830" t="s">
        <v>910</v>
      </c>
    </row>
    <row r="1468" spans="22:23">
      <c r="V1468" s="830" t="s">
        <v>127</v>
      </c>
      <c r="W1468" s="830" t="s">
        <v>712</v>
      </c>
    </row>
    <row r="1469" spans="22:23">
      <c r="V1469" s="830" t="s">
        <v>127</v>
      </c>
      <c r="W1469" s="830" t="s">
        <v>2286</v>
      </c>
    </row>
    <row r="1470" spans="22:23">
      <c r="V1470" s="830" t="s">
        <v>127</v>
      </c>
      <c r="W1470" s="830" t="s">
        <v>2300</v>
      </c>
    </row>
    <row r="1471" spans="22:23">
      <c r="V1471" s="830" t="s">
        <v>127</v>
      </c>
      <c r="W1471" s="830" t="s">
        <v>2301</v>
      </c>
    </row>
    <row r="1472" spans="22:23">
      <c r="V1472" s="830" t="s">
        <v>127</v>
      </c>
      <c r="W1472" s="830" t="s">
        <v>2302</v>
      </c>
    </row>
    <row r="1473" spans="22:23">
      <c r="V1473" s="830" t="s">
        <v>127</v>
      </c>
      <c r="W1473" s="830" t="s">
        <v>2304</v>
      </c>
    </row>
    <row r="1474" spans="22:23">
      <c r="V1474" s="830" t="s">
        <v>127</v>
      </c>
      <c r="W1474" s="830" t="s">
        <v>2305</v>
      </c>
    </row>
    <row r="1475" spans="22:23">
      <c r="V1475" s="830" t="s">
        <v>127</v>
      </c>
      <c r="W1475" s="830" t="s">
        <v>842</v>
      </c>
    </row>
    <row r="1476" spans="22:23">
      <c r="V1476" s="830" t="s">
        <v>1264</v>
      </c>
      <c r="W1476" s="830" t="s">
        <v>586</v>
      </c>
    </row>
    <row r="1477" spans="22:23">
      <c r="V1477" s="830" t="s">
        <v>1264</v>
      </c>
      <c r="W1477" s="830" t="s">
        <v>1316</v>
      </c>
    </row>
    <row r="1478" spans="22:23">
      <c r="V1478" s="830" t="s">
        <v>1264</v>
      </c>
      <c r="W1478" s="830" t="s">
        <v>2306</v>
      </c>
    </row>
    <row r="1479" spans="22:23">
      <c r="V1479" s="830" t="s">
        <v>1264</v>
      </c>
      <c r="W1479" s="830" t="s">
        <v>1156</v>
      </c>
    </row>
    <row r="1480" spans="22:23">
      <c r="V1480" s="830" t="s">
        <v>1264</v>
      </c>
      <c r="W1480" s="830" t="s">
        <v>2307</v>
      </c>
    </row>
    <row r="1481" spans="22:23">
      <c r="V1481" s="830" t="s">
        <v>1264</v>
      </c>
      <c r="W1481" s="830" t="s">
        <v>1939</v>
      </c>
    </row>
    <row r="1482" spans="22:23">
      <c r="V1482" s="830" t="s">
        <v>1264</v>
      </c>
      <c r="W1482" s="830" t="s">
        <v>2308</v>
      </c>
    </row>
    <row r="1483" spans="22:23">
      <c r="V1483" s="830" t="s">
        <v>1264</v>
      </c>
      <c r="W1483" s="830" t="s">
        <v>440</v>
      </c>
    </row>
    <row r="1484" spans="22:23">
      <c r="V1484" s="830" t="s">
        <v>1264</v>
      </c>
      <c r="W1484" s="830" t="s">
        <v>303</v>
      </c>
    </row>
    <row r="1485" spans="22:23">
      <c r="V1485" s="830" t="s">
        <v>1264</v>
      </c>
      <c r="W1485" s="830" t="s">
        <v>2309</v>
      </c>
    </row>
    <row r="1486" spans="22:23">
      <c r="V1486" s="830" t="s">
        <v>1264</v>
      </c>
      <c r="W1486" s="830" t="s">
        <v>1544</v>
      </c>
    </row>
    <row r="1487" spans="22:23">
      <c r="V1487" s="830" t="s">
        <v>1264</v>
      </c>
      <c r="W1487" s="830" t="s">
        <v>2310</v>
      </c>
    </row>
    <row r="1488" spans="22:23">
      <c r="V1488" s="830" t="s">
        <v>1264</v>
      </c>
      <c r="W1488" s="830" t="s">
        <v>2311</v>
      </c>
    </row>
    <row r="1489" spans="22:23">
      <c r="V1489" s="830" t="s">
        <v>1264</v>
      </c>
      <c r="W1489" s="830" t="s">
        <v>1298</v>
      </c>
    </row>
    <row r="1490" spans="22:23">
      <c r="V1490" s="830" t="s">
        <v>1264</v>
      </c>
      <c r="W1490" s="830" t="s">
        <v>458</v>
      </c>
    </row>
    <row r="1491" spans="22:23">
      <c r="V1491" s="830" t="s">
        <v>1264</v>
      </c>
      <c r="W1491" s="830" t="s">
        <v>652</v>
      </c>
    </row>
    <row r="1492" spans="22:23">
      <c r="V1492" s="830" t="s">
        <v>1264</v>
      </c>
      <c r="W1492" s="830" t="s">
        <v>1745</v>
      </c>
    </row>
    <row r="1493" spans="22:23">
      <c r="V1493" s="830" t="s">
        <v>1264</v>
      </c>
      <c r="W1493" s="830" t="s">
        <v>1409</v>
      </c>
    </row>
    <row r="1494" spans="22:23">
      <c r="V1494" s="830" t="s">
        <v>1264</v>
      </c>
      <c r="W1494" s="830" t="s">
        <v>1328</v>
      </c>
    </row>
    <row r="1495" spans="22:23">
      <c r="V1495" s="830" t="s">
        <v>1264</v>
      </c>
      <c r="W1495" s="830" t="s">
        <v>1699</v>
      </c>
    </row>
    <row r="1496" spans="22:23">
      <c r="V1496" s="830" t="s">
        <v>1264</v>
      </c>
      <c r="W1496" s="830" t="s">
        <v>1942</v>
      </c>
    </row>
    <row r="1497" spans="22:23">
      <c r="V1497" s="830" t="s">
        <v>1264</v>
      </c>
      <c r="W1497" s="830" t="s">
        <v>1703</v>
      </c>
    </row>
    <row r="1498" spans="22:23">
      <c r="V1498" s="830" t="s">
        <v>1264</v>
      </c>
      <c r="W1498" s="830" t="s">
        <v>1287</v>
      </c>
    </row>
    <row r="1499" spans="22:23">
      <c r="V1499" s="830" t="s">
        <v>1264</v>
      </c>
      <c r="W1499" s="830" t="s">
        <v>2005</v>
      </c>
    </row>
    <row r="1500" spans="22:23">
      <c r="V1500" s="830" t="s">
        <v>1264</v>
      </c>
      <c r="W1500" s="830" t="s">
        <v>739</v>
      </c>
    </row>
    <row r="1501" spans="22:23">
      <c r="V1501" s="830" t="s">
        <v>1264</v>
      </c>
      <c r="W1501" s="830" t="s">
        <v>2312</v>
      </c>
    </row>
    <row r="1502" spans="22:23">
      <c r="V1502" s="830" t="s">
        <v>1264</v>
      </c>
      <c r="W1502" s="830" t="s">
        <v>2313</v>
      </c>
    </row>
    <row r="1503" spans="22:23">
      <c r="V1503" s="830" t="s">
        <v>1264</v>
      </c>
      <c r="W1503" s="830" t="s">
        <v>975</v>
      </c>
    </row>
    <row r="1504" spans="22:23">
      <c r="V1504" s="830" t="s">
        <v>2314</v>
      </c>
      <c r="W1504" s="830" t="s">
        <v>2315</v>
      </c>
    </row>
    <row r="1505" spans="22:23">
      <c r="V1505" s="830" t="s">
        <v>1264</v>
      </c>
      <c r="W1505" s="830" t="s">
        <v>2316</v>
      </c>
    </row>
    <row r="1506" spans="22:23">
      <c r="V1506" s="830" t="s">
        <v>1264</v>
      </c>
      <c r="W1506" s="830" t="s">
        <v>2129</v>
      </c>
    </row>
    <row r="1507" spans="22:23">
      <c r="V1507" s="830" t="s">
        <v>1264</v>
      </c>
      <c r="W1507" s="830" t="s">
        <v>2318</v>
      </c>
    </row>
    <row r="1508" spans="22:23">
      <c r="V1508" s="830" t="s">
        <v>1264</v>
      </c>
      <c r="W1508" s="830" t="s">
        <v>2319</v>
      </c>
    </row>
    <row r="1509" spans="22:23">
      <c r="V1509" s="830" t="s">
        <v>1264</v>
      </c>
      <c r="W1509" s="830" t="s">
        <v>2208</v>
      </c>
    </row>
    <row r="1510" spans="22:23">
      <c r="V1510" s="830" t="s">
        <v>1264</v>
      </c>
      <c r="W1510" s="830" t="s">
        <v>1820</v>
      </c>
    </row>
    <row r="1511" spans="22:23">
      <c r="V1511" s="830" t="s">
        <v>1264</v>
      </c>
      <c r="W1511" s="830" t="s">
        <v>1568</v>
      </c>
    </row>
    <row r="1512" spans="22:23">
      <c r="V1512" s="830" t="s">
        <v>1264</v>
      </c>
      <c r="W1512" s="830" t="s">
        <v>2320</v>
      </c>
    </row>
    <row r="1513" spans="22:23">
      <c r="V1513" s="830" t="s">
        <v>1264</v>
      </c>
      <c r="W1513" s="830" t="s">
        <v>1371</v>
      </c>
    </row>
    <row r="1514" spans="22:23">
      <c r="V1514" s="830" t="s">
        <v>1264</v>
      </c>
      <c r="W1514" s="830" t="s">
        <v>2321</v>
      </c>
    </row>
    <row r="1515" spans="22:23">
      <c r="V1515" s="830" t="s">
        <v>1264</v>
      </c>
      <c r="W1515" s="830" t="s">
        <v>2258</v>
      </c>
    </row>
    <row r="1516" spans="22:23">
      <c r="V1516" s="830" t="s">
        <v>1264</v>
      </c>
      <c r="W1516" s="830" t="s">
        <v>2322</v>
      </c>
    </row>
    <row r="1517" spans="22:23">
      <c r="V1517" s="830" t="s">
        <v>1264</v>
      </c>
      <c r="W1517" s="830" t="s">
        <v>2323</v>
      </c>
    </row>
    <row r="1518" spans="22:23">
      <c r="V1518" s="830" t="s">
        <v>1264</v>
      </c>
      <c r="W1518" s="830" t="s">
        <v>2324</v>
      </c>
    </row>
    <row r="1519" spans="22:23">
      <c r="V1519" s="830" t="s">
        <v>1264</v>
      </c>
      <c r="W1519" s="830" t="s">
        <v>2325</v>
      </c>
    </row>
    <row r="1520" spans="22:23">
      <c r="V1520" s="830" t="s">
        <v>1264</v>
      </c>
      <c r="W1520" s="830" t="s">
        <v>1164</v>
      </c>
    </row>
    <row r="1521" spans="22:23">
      <c r="V1521" s="830" t="s">
        <v>1264</v>
      </c>
      <c r="W1521" s="830" t="s">
        <v>175</v>
      </c>
    </row>
    <row r="1522" spans="22:23">
      <c r="V1522" s="830" t="s">
        <v>1264</v>
      </c>
      <c r="W1522" s="830" t="s">
        <v>2327</v>
      </c>
    </row>
    <row r="1523" spans="22:23">
      <c r="V1523" s="830" t="s">
        <v>1264</v>
      </c>
      <c r="W1523" s="830" t="s">
        <v>2070</v>
      </c>
    </row>
    <row r="1524" spans="22:23">
      <c r="V1524" s="830" t="s">
        <v>1264</v>
      </c>
      <c r="W1524" s="830" t="s">
        <v>2329</v>
      </c>
    </row>
    <row r="1525" spans="22:23">
      <c r="V1525" s="830" t="s">
        <v>1264</v>
      </c>
      <c r="W1525" s="830" t="s">
        <v>2330</v>
      </c>
    </row>
    <row r="1526" spans="22:23">
      <c r="V1526" s="830" t="s">
        <v>1264</v>
      </c>
      <c r="W1526" s="830" t="s">
        <v>2331</v>
      </c>
    </row>
    <row r="1527" spans="22:23">
      <c r="V1527" s="830" t="s">
        <v>1264</v>
      </c>
      <c r="W1527" s="830" t="s">
        <v>1385</v>
      </c>
    </row>
    <row r="1528" spans="22:23">
      <c r="V1528" s="830" t="s">
        <v>1264</v>
      </c>
      <c r="W1528" s="830" t="s">
        <v>2332</v>
      </c>
    </row>
    <row r="1529" spans="22:23">
      <c r="V1529" s="830" t="s">
        <v>1264</v>
      </c>
      <c r="W1529" s="830" t="s">
        <v>98</v>
      </c>
    </row>
    <row r="1530" spans="22:23">
      <c r="V1530" s="830" t="s">
        <v>1264</v>
      </c>
      <c r="W1530" s="830" t="s">
        <v>2333</v>
      </c>
    </row>
    <row r="1531" spans="22:23">
      <c r="V1531" s="830" t="s">
        <v>1264</v>
      </c>
      <c r="W1531" s="830" t="s">
        <v>2334</v>
      </c>
    </row>
    <row r="1532" spans="22:23">
      <c r="V1532" s="830" t="s">
        <v>1264</v>
      </c>
      <c r="W1532" s="830" t="s">
        <v>1590</v>
      </c>
    </row>
    <row r="1533" spans="22:23">
      <c r="V1533" s="830" t="s">
        <v>1264</v>
      </c>
      <c r="W1533" s="830" t="s">
        <v>2335</v>
      </c>
    </row>
    <row r="1534" spans="22:23">
      <c r="V1534" s="830" t="s">
        <v>1264</v>
      </c>
      <c r="W1534" s="830" t="s">
        <v>2336</v>
      </c>
    </row>
    <row r="1535" spans="22:23">
      <c r="V1535" s="830" t="s">
        <v>1264</v>
      </c>
      <c r="W1535" s="830" t="s">
        <v>2032</v>
      </c>
    </row>
    <row r="1536" spans="22:23">
      <c r="V1536" s="830" t="s">
        <v>1273</v>
      </c>
      <c r="W1536" s="830" t="s">
        <v>2337</v>
      </c>
    </row>
    <row r="1537" spans="22:23">
      <c r="V1537" s="830" t="s">
        <v>1273</v>
      </c>
      <c r="W1537" s="830" t="s">
        <v>555</v>
      </c>
    </row>
    <row r="1538" spans="22:23">
      <c r="V1538" s="830" t="s">
        <v>1273</v>
      </c>
      <c r="W1538" s="830" t="s">
        <v>310</v>
      </c>
    </row>
    <row r="1539" spans="22:23">
      <c r="V1539" s="830" t="s">
        <v>1273</v>
      </c>
      <c r="W1539" s="830" t="s">
        <v>2303</v>
      </c>
    </row>
    <row r="1540" spans="22:23">
      <c r="V1540" s="830" t="s">
        <v>1273</v>
      </c>
      <c r="W1540" s="830" t="s">
        <v>1777</v>
      </c>
    </row>
    <row r="1541" spans="22:23">
      <c r="V1541" s="830" t="s">
        <v>1273</v>
      </c>
      <c r="W1541" s="830" t="s">
        <v>2338</v>
      </c>
    </row>
    <row r="1542" spans="22:23">
      <c r="V1542" s="830" t="s">
        <v>1273</v>
      </c>
      <c r="W1542" s="830" t="s">
        <v>2340</v>
      </c>
    </row>
    <row r="1543" spans="22:23">
      <c r="V1543" s="830" t="s">
        <v>1273</v>
      </c>
      <c r="W1543" s="830" t="s">
        <v>2138</v>
      </c>
    </row>
    <row r="1544" spans="22:23">
      <c r="V1544" s="830" t="s">
        <v>1273</v>
      </c>
      <c r="W1544" s="830" t="s">
        <v>2341</v>
      </c>
    </row>
    <row r="1545" spans="22:23">
      <c r="V1545" s="830" t="s">
        <v>1273</v>
      </c>
      <c r="W1545" s="830" t="s">
        <v>2342</v>
      </c>
    </row>
    <row r="1546" spans="22:23">
      <c r="V1546" s="830" t="s">
        <v>1273</v>
      </c>
      <c r="W1546" s="830" t="s">
        <v>2343</v>
      </c>
    </row>
    <row r="1547" spans="22:23">
      <c r="V1547" s="830" t="s">
        <v>1273</v>
      </c>
      <c r="W1547" s="830" t="s">
        <v>1003</v>
      </c>
    </row>
    <row r="1548" spans="22:23">
      <c r="V1548" s="830" t="s">
        <v>1273</v>
      </c>
      <c r="W1548" s="830" t="s">
        <v>2328</v>
      </c>
    </row>
    <row r="1549" spans="22:23">
      <c r="V1549" s="830" t="s">
        <v>1273</v>
      </c>
      <c r="W1549" s="830" t="s">
        <v>2344</v>
      </c>
    </row>
    <row r="1550" spans="22:23">
      <c r="V1550" s="830" t="s">
        <v>1273</v>
      </c>
      <c r="W1550" s="830" t="s">
        <v>2345</v>
      </c>
    </row>
    <row r="1551" spans="22:23">
      <c r="V1551" s="830" t="s">
        <v>1273</v>
      </c>
      <c r="W1551" s="830" t="s">
        <v>992</v>
      </c>
    </row>
    <row r="1552" spans="22:23">
      <c r="V1552" s="830" t="s">
        <v>1273</v>
      </c>
      <c r="W1552" s="830" t="s">
        <v>51</v>
      </c>
    </row>
    <row r="1553" spans="22:23">
      <c r="V1553" s="830" t="s">
        <v>1273</v>
      </c>
      <c r="W1553" s="830" t="s">
        <v>2346</v>
      </c>
    </row>
    <row r="1554" spans="22:23">
      <c r="V1554" s="830" t="s">
        <v>1273</v>
      </c>
      <c r="W1554" s="830" t="s">
        <v>2347</v>
      </c>
    </row>
    <row r="1555" spans="22:23">
      <c r="V1555" s="830" t="s">
        <v>1273</v>
      </c>
      <c r="W1555" s="830" t="s">
        <v>1542</v>
      </c>
    </row>
    <row r="1556" spans="22:23">
      <c r="V1556" s="830" t="s">
        <v>128</v>
      </c>
      <c r="W1556" s="830" t="s">
        <v>1943</v>
      </c>
    </row>
    <row r="1557" spans="22:23">
      <c r="V1557" s="830" t="s">
        <v>128</v>
      </c>
      <c r="W1557" s="830" t="s">
        <v>2121</v>
      </c>
    </row>
    <row r="1558" spans="22:23">
      <c r="V1558" s="830" t="s">
        <v>128</v>
      </c>
      <c r="W1558" s="830" t="s">
        <v>2348</v>
      </c>
    </row>
    <row r="1559" spans="22:23">
      <c r="V1559" s="830" t="s">
        <v>128</v>
      </c>
      <c r="W1559" s="830" t="s">
        <v>2349</v>
      </c>
    </row>
    <row r="1560" spans="22:23">
      <c r="V1560" s="830" t="s">
        <v>128</v>
      </c>
      <c r="W1560" s="830" t="s">
        <v>2350</v>
      </c>
    </row>
    <row r="1561" spans="22:23">
      <c r="V1561" s="830" t="s">
        <v>128</v>
      </c>
      <c r="W1561" s="830" t="s">
        <v>2351</v>
      </c>
    </row>
    <row r="1562" spans="22:23">
      <c r="V1562" s="830" t="s">
        <v>128</v>
      </c>
      <c r="W1562" s="830" t="s">
        <v>2352</v>
      </c>
    </row>
    <row r="1563" spans="22:23">
      <c r="V1563" s="830" t="s">
        <v>128</v>
      </c>
      <c r="W1563" s="830" t="s">
        <v>333</v>
      </c>
    </row>
    <row r="1564" spans="22:23">
      <c r="V1564" s="830" t="s">
        <v>128</v>
      </c>
      <c r="W1564" s="830" t="s">
        <v>954</v>
      </c>
    </row>
    <row r="1565" spans="22:23">
      <c r="V1565" s="830" t="s">
        <v>128</v>
      </c>
      <c r="W1565" s="830" t="s">
        <v>2354</v>
      </c>
    </row>
    <row r="1566" spans="22:23">
      <c r="V1566" s="830" t="s">
        <v>128</v>
      </c>
      <c r="W1566" s="830" t="s">
        <v>2355</v>
      </c>
    </row>
    <row r="1567" spans="22:23">
      <c r="V1567" s="830" t="s">
        <v>128</v>
      </c>
      <c r="W1567" s="830" t="s">
        <v>275</v>
      </c>
    </row>
    <row r="1568" spans="22:23">
      <c r="V1568" s="830" t="s">
        <v>128</v>
      </c>
      <c r="W1568" s="830" t="s">
        <v>1022</v>
      </c>
    </row>
    <row r="1569" spans="22:23">
      <c r="V1569" s="830" t="s">
        <v>128</v>
      </c>
      <c r="W1569" s="830" t="s">
        <v>2356</v>
      </c>
    </row>
    <row r="1570" spans="22:23">
      <c r="V1570" s="830" t="s">
        <v>128</v>
      </c>
      <c r="W1570" s="830" t="s">
        <v>2357</v>
      </c>
    </row>
    <row r="1571" spans="22:23">
      <c r="V1571" s="830" t="s">
        <v>128</v>
      </c>
      <c r="W1571" s="830" t="s">
        <v>2358</v>
      </c>
    </row>
    <row r="1572" spans="22:23">
      <c r="V1572" s="830" t="s">
        <v>128</v>
      </c>
      <c r="W1572" s="830" t="s">
        <v>1058</v>
      </c>
    </row>
    <row r="1573" spans="22:23">
      <c r="V1573" s="830" t="s">
        <v>128</v>
      </c>
      <c r="W1573" s="830" t="s">
        <v>11</v>
      </c>
    </row>
    <row r="1574" spans="22:23">
      <c r="V1574" s="830" t="s">
        <v>128</v>
      </c>
      <c r="W1574" s="830" t="s">
        <v>1810</v>
      </c>
    </row>
    <row r="1575" spans="22:23">
      <c r="V1575" s="830" t="s">
        <v>128</v>
      </c>
      <c r="W1575" s="830" t="s">
        <v>755</v>
      </c>
    </row>
    <row r="1576" spans="22:23">
      <c r="V1576" s="830" t="s">
        <v>128</v>
      </c>
      <c r="W1576" s="830" t="s">
        <v>2359</v>
      </c>
    </row>
    <row r="1577" spans="22:23">
      <c r="V1577" s="830" t="s">
        <v>1291</v>
      </c>
      <c r="W1577" s="830" t="s">
        <v>2360</v>
      </c>
    </row>
    <row r="1578" spans="22:23">
      <c r="V1578" s="830" t="s">
        <v>1291</v>
      </c>
      <c r="W1578" s="830" t="s">
        <v>1132</v>
      </c>
    </row>
    <row r="1579" spans="22:23">
      <c r="V1579" s="830" t="s">
        <v>1291</v>
      </c>
      <c r="W1579" s="830" t="s">
        <v>2361</v>
      </c>
    </row>
    <row r="1580" spans="22:23">
      <c r="V1580" s="830" t="s">
        <v>1291</v>
      </c>
      <c r="W1580" s="830" t="s">
        <v>2362</v>
      </c>
    </row>
    <row r="1581" spans="22:23">
      <c r="V1581" s="830" t="s">
        <v>1291</v>
      </c>
      <c r="W1581" s="830" t="s">
        <v>2363</v>
      </c>
    </row>
    <row r="1582" spans="22:23">
      <c r="V1582" s="830" t="s">
        <v>1291</v>
      </c>
      <c r="W1582" s="830" t="s">
        <v>2364</v>
      </c>
    </row>
    <row r="1583" spans="22:23">
      <c r="V1583" s="830" t="s">
        <v>1291</v>
      </c>
      <c r="W1583" s="830" t="s">
        <v>1445</v>
      </c>
    </row>
    <row r="1584" spans="22:23">
      <c r="V1584" s="830" t="s">
        <v>1291</v>
      </c>
      <c r="W1584" s="830" t="s">
        <v>2365</v>
      </c>
    </row>
    <row r="1585" spans="22:23">
      <c r="V1585" s="830" t="s">
        <v>1291</v>
      </c>
      <c r="W1585" s="830" t="s">
        <v>2366</v>
      </c>
    </row>
    <row r="1586" spans="22:23">
      <c r="V1586" s="830" t="s">
        <v>1291</v>
      </c>
      <c r="W1586" s="830" t="s">
        <v>2367</v>
      </c>
    </row>
    <row r="1587" spans="22:23">
      <c r="V1587" s="830" t="s">
        <v>1291</v>
      </c>
      <c r="W1587" s="830" t="s">
        <v>2109</v>
      </c>
    </row>
    <row r="1588" spans="22:23">
      <c r="V1588" s="830" t="s">
        <v>1291</v>
      </c>
      <c r="W1588" s="830" t="s">
        <v>961</v>
      </c>
    </row>
    <row r="1589" spans="22:23">
      <c r="V1589" s="830" t="s">
        <v>1291</v>
      </c>
      <c r="W1589" s="830" t="s">
        <v>1155</v>
      </c>
    </row>
    <row r="1590" spans="22:23">
      <c r="V1590" s="830" t="s">
        <v>1291</v>
      </c>
      <c r="W1590" s="830" t="s">
        <v>2368</v>
      </c>
    </row>
    <row r="1591" spans="22:23">
      <c r="V1591" s="830" t="s">
        <v>1291</v>
      </c>
      <c r="W1591" s="830" t="s">
        <v>427</v>
      </c>
    </row>
    <row r="1592" spans="22:23">
      <c r="V1592" s="830" t="s">
        <v>1291</v>
      </c>
      <c r="W1592" s="830" t="s">
        <v>2369</v>
      </c>
    </row>
    <row r="1593" spans="22:23">
      <c r="V1593" s="830" t="s">
        <v>1291</v>
      </c>
      <c r="W1593" s="830" t="s">
        <v>2370</v>
      </c>
    </row>
    <row r="1594" spans="22:23">
      <c r="V1594" s="830" t="s">
        <v>1291</v>
      </c>
      <c r="W1594" s="830" t="s">
        <v>76</v>
      </c>
    </row>
    <row r="1595" spans="22:23">
      <c r="V1595" s="830" t="s">
        <v>1291</v>
      </c>
      <c r="W1595" s="830" t="s">
        <v>2371</v>
      </c>
    </row>
    <row r="1596" spans="22:23">
      <c r="V1596" s="830" t="s">
        <v>1291</v>
      </c>
      <c r="W1596" s="830" t="s">
        <v>1903</v>
      </c>
    </row>
    <row r="1597" spans="22:23">
      <c r="V1597" s="830" t="s">
        <v>1291</v>
      </c>
      <c r="W1597" s="830" t="s">
        <v>1602</v>
      </c>
    </row>
    <row r="1598" spans="22:23">
      <c r="V1598" s="830" t="s">
        <v>1291</v>
      </c>
      <c r="W1598" s="830" t="s">
        <v>224</v>
      </c>
    </row>
    <row r="1599" spans="22:23">
      <c r="V1599" s="830" t="s">
        <v>1291</v>
      </c>
      <c r="W1599" s="830" t="s">
        <v>551</v>
      </c>
    </row>
    <row r="1600" spans="22:23">
      <c r="V1600" s="830" t="s">
        <v>1291</v>
      </c>
      <c r="W1600" s="830" t="s">
        <v>2353</v>
      </c>
    </row>
    <row r="1601" spans="22:23">
      <c r="V1601" s="830" t="s">
        <v>1291</v>
      </c>
      <c r="W1601" s="830" t="s">
        <v>2099</v>
      </c>
    </row>
    <row r="1602" spans="22:23">
      <c r="V1602" s="830" t="s">
        <v>1291</v>
      </c>
      <c r="W1602" s="830" t="s">
        <v>2372</v>
      </c>
    </row>
    <row r="1603" spans="22:23">
      <c r="V1603" s="830" t="s">
        <v>1291</v>
      </c>
      <c r="W1603" s="830" t="s">
        <v>1879</v>
      </c>
    </row>
    <row r="1604" spans="22:23">
      <c r="V1604" s="830" t="s">
        <v>1291</v>
      </c>
      <c r="W1604" s="830" t="s">
        <v>1688</v>
      </c>
    </row>
    <row r="1605" spans="22:23">
      <c r="V1605" s="830" t="s">
        <v>1291</v>
      </c>
      <c r="W1605" s="830" t="s">
        <v>1917</v>
      </c>
    </row>
    <row r="1606" spans="22:23">
      <c r="V1606" s="830" t="s">
        <v>1291</v>
      </c>
      <c r="W1606" s="830" t="s">
        <v>2373</v>
      </c>
    </row>
    <row r="1607" spans="22:23">
      <c r="V1607" s="830" t="s">
        <v>1291</v>
      </c>
      <c r="W1607" s="830" t="s">
        <v>2374</v>
      </c>
    </row>
    <row r="1608" spans="22:23">
      <c r="V1608" s="830" t="s">
        <v>1291</v>
      </c>
      <c r="W1608" s="830" t="s">
        <v>791</v>
      </c>
    </row>
    <row r="1609" spans="22:23">
      <c r="V1609" s="830" t="s">
        <v>1291</v>
      </c>
      <c r="W1609" s="830" t="s">
        <v>813</v>
      </c>
    </row>
    <row r="1610" spans="22:23">
      <c r="V1610" s="830" t="s">
        <v>1291</v>
      </c>
      <c r="W1610" s="830" t="s">
        <v>2375</v>
      </c>
    </row>
    <row r="1611" spans="22:23">
      <c r="V1611" s="830" t="s">
        <v>1291</v>
      </c>
      <c r="W1611" s="830" t="s">
        <v>2376</v>
      </c>
    </row>
    <row r="1612" spans="22:23">
      <c r="V1612" s="830" t="s">
        <v>1291</v>
      </c>
      <c r="W1612" s="830" t="s">
        <v>2377</v>
      </c>
    </row>
    <row r="1613" spans="22:23">
      <c r="V1613" s="830" t="s">
        <v>1291</v>
      </c>
      <c r="W1613" s="830" t="s">
        <v>2378</v>
      </c>
    </row>
    <row r="1614" spans="22:23">
      <c r="V1614" s="830" t="s">
        <v>1291</v>
      </c>
      <c r="W1614" s="830" t="s">
        <v>2063</v>
      </c>
    </row>
    <row r="1615" spans="22:23">
      <c r="V1615" s="830" t="s">
        <v>1291</v>
      </c>
      <c r="W1615" s="830" t="s">
        <v>1925</v>
      </c>
    </row>
    <row r="1616" spans="22:23">
      <c r="V1616" s="830" t="s">
        <v>1291</v>
      </c>
      <c r="W1616" s="830" t="s">
        <v>2379</v>
      </c>
    </row>
    <row r="1617" spans="22:23">
      <c r="V1617" s="830" t="s">
        <v>1291</v>
      </c>
      <c r="W1617" s="830" t="s">
        <v>1506</v>
      </c>
    </row>
    <row r="1618" spans="22:23">
      <c r="V1618" s="830" t="s">
        <v>1291</v>
      </c>
      <c r="W1618" s="830" t="s">
        <v>2380</v>
      </c>
    </row>
    <row r="1619" spans="22:23">
      <c r="V1619" s="830" t="s">
        <v>1291</v>
      </c>
      <c r="W1619" s="830" t="s">
        <v>1263</v>
      </c>
    </row>
    <row r="1620" spans="22:23">
      <c r="V1620" s="830" t="s">
        <v>1291</v>
      </c>
      <c r="W1620" s="830" t="s">
        <v>1775</v>
      </c>
    </row>
    <row r="1621" spans="22:23">
      <c r="V1621" s="830" t="s">
        <v>1291</v>
      </c>
      <c r="W1621" s="830" t="s">
        <v>1993</v>
      </c>
    </row>
    <row r="1622" spans="22:23">
      <c r="V1622" s="830" t="s">
        <v>1302</v>
      </c>
      <c r="W1622" s="830" t="s">
        <v>2381</v>
      </c>
    </row>
    <row r="1623" spans="22:23">
      <c r="V1623" s="830" t="s">
        <v>1302</v>
      </c>
      <c r="W1623" s="830" t="s">
        <v>1871</v>
      </c>
    </row>
    <row r="1624" spans="22:23">
      <c r="V1624" s="830" t="s">
        <v>1302</v>
      </c>
      <c r="W1624" s="830" t="s">
        <v>2382</v>
      </c>
    </row>
    <row r="1625" spans="22:23">
      <c r="V1625" s="830" t="s">
        <v>1302</v>
      </c>
      <c r="W1625" s="830" t="s">
        <v>1116</v>
      </c>
    </row>
    <row r="1626" spans="22:23">
      <c r="V1626" s="830" t="s">
        <v>1302</v>
      </c>
      <c r="W1626" s="830" t="s">
        <v>2383</v>
      </c>
    </row>
    <row r="1627" spans="22:23">
      <c r="V1627" s="830" t="s">
        <v>1302</v>
      </c>
      <c r="W1627" s="830" t="s">
        <v>1677</v>
      </c>
    </row>
    <row r="1628" spans="22:23">
      <c r="V1628" s="830" t="s">
        <v>1302</v>
      </c>
      <c r="W1628" s="830" t="s">
        <v>2384</v>
      </c>
    </row>
    <row r="1629" spans="22:23">
      <c r="V1629" s="830" t="s">
        <v>1302</v>
      </c>
      <c r="W1629" s="830" t="s">
        <v>2385</v>
      </c>
    </row>
    <row r="1630" spans="22:23">
      <c r="V1630" s="830" t="s">
        <v>1302</v>
      </c>
      <c r="W1630" s="830" t="s">
        <v>900</v>
      </c>
    </row>
    <row r="1631" spans="22:23">
      <c r="V1631" s="830" t="s">
        <v>1302</v>
      </c>
      <c r="W1631" s="830" t="s">
        <v>2386</v>
      </c>
    </row>
    <row r="1632" spans="22:23">
      <c r="V1632" s="830" t="s">
        <v>1302</v>
      </c>
      <c r="W1632" s="830" t="s">
        <v>1827</v>
      </c>
    </row>
    <row r="1633" spans="22:23">
      <c r="V1633" s="830" t="s">
        <v>1302</v>
      </c>
      <c r="W1633" s="830" t="s">
        <v>1819</v>
      </c>
    </row>
    <row r="1634" spans="22:23">
      <c r="V1634" s="830" t="s">
        <v>1302</v>
      </c>
      <c r="W1634" s="830" t="s">
        <v>570</v>
      </c>
    </row>
    <row r="1635" spans="22:23">
      <c r="V1635" s="830" t="s">
        <v>1302</v>
      </c>
      <c r="W1635" s="830" t="s">
        <v>2387</v>
      </c>
    </row>
    <row r="1636" spans="22:23">
      <c r="V1636" s="830" t="s">
        <v>1302</v>
      </c>
      <c r="W1636" s="830" t="s">
        <v>743</v>
      </c>
    </row>
    <row r="1637" spans="22:23">
      <c r="V1637" s="830" t="s">
        <v>1302</v>
      </c>
      <c r="W1637" s="830" t="s">
        <v>1186</v>
      </c>
    </row>
    <row r="1638" spans="22:23">
      <c r="V1638" s="830" t="s">
        <v>1302</v>
      </c>
      <c r="W1638" s="830" t="s">
        <v>19</v>
      </c>
    </row>
    <row r="1639" spans="22:23">
      <c r="V1639" s="830" t="s">
        <v>1302</v>
      </c>
      <c r="W1639" s="830" t="s">
        <v>2388</v>
      </c>
    </row>
    <row r="1640" spans="22:23">
      <c r="V1640" s="830" t="s">
        <v>1149</v>
      </c>
      <c r="W1640" s="830" t="s">
        <v>2178</v>
      </c>
    </row>
    <row r="1641" spans="22:23">
      <c r="V1641" s="830" t="s">
        <v>1149</v>
      </c>
      <c r="W1641" s="830" t="s">
        <v>723</v>
      </c>
    </row>
    <row r="1642" spans="22:23">
      <c r="V1642" s="830" t="s">
        <v>1149</v>
      </c>
      <c r="W1642" s="830" t="s">
        <v>2389</v>
      </c>
    </row>
    <row r="1643" spans="22:23">
      <c r="V1643" s="830" t="s">
        <v>1149</v>
      </c>
      <c r="W1643" s="830" t="s">
        <v>1406</v>
      </c>
    </row>
    <row r="1644" spans="22:23">
      <c r="V1644" s="830" t="s">
        <v>1149</v>
      </c>
      <c r="W1644" s="830" t="s">
        <v>2317</v>
      </c>
    </row>
    <row r="1645" spans="22:23">
      <c r="V1645" s="830" t="s">
        <v>1149</v>
      </c>
      <c r="W1645" s="830" t="s">
        <v>2390</v>
      </c>
    </row>
    <row r="1646" spans="22:23">
      <c r="V1646" s="830" t="s">
        <v>1149</v>
      </c>
      <c r="W1646" s="830" t="s">
        <v>2391</v>
      </c>
    </row>
    <row r="1647" spans="22:23">
      <c r="V1647" s="830" t="s">
        <v>1149</v>
      </c>
      <c r="W1647" s="830" t="s">
        <v>2392</v>
      </c>
    </row>
    <row r="1648" spans="22:23">
      <c r="V1648" s="830" t="s">
        <v>1149</v>
      </c>
      <c r="W1648" s="830" t="s">
        <v>749</v>
      </c>
    </row>
    <row r="1649" spans="22:23">
      <c r="V1649" s="830" t="s">
        <v>1149</v>
      </c>
      <c r="W1649" s="830" t="s">
        <v>2393</v>
      </c>
    </row>
    <row r="1650" spans="22:23">
      <c r="V1650" s="830" t="s">
        <v>1149</v>
      </c>
      <c r="W1650" s="830" t="s">
        <v>2394</v>
      </c>
    </row>
    <row r="1651" spans="22:23">
      <c r="V1651" s="830" t="s">
        <v>1149</v>
      </c>
      <c r="W1651" s="830" t="s">
        <v>1670</v>
      </c>
    </row>
    <row r="1652" spans="22:23">
      <c r="V1652" s="830" t="s">
        <v>1149</v>
      </c>
      <c r="W1652" s="830" t="s">
        <v>1648</v>
      </c>
    </row>
    <row r="1653" spans="22:23">
      <c r="V1653" s="830" t="s">
        <v>1149</v>
      </c>
      <c r="W1653" s="830" t="s">
        <v>2395</v>
      </c>
    </row>
    <row r="1654" spans="22:23">
      <c r="V1654" s="830" t="s">
        <v>1149</v>
      </c>
      <c r="W1654" s="830" t="s">
        <v>2396</v>
      </c>
    </row>
    <row r="1655" spans="22:23">
      <c r="V1655" s="830" t="s">
        <v>1149</v>
      </c>
      <c r="W1655" s="830" t="s">
        <v>2397</v>
      </c>
    </row>
    <row r="1656" spans="22:23">
      <c r="V1656" s="830" t="s">
        <v>1149</v>
      </c>
      <c r="W1656" s="830" t="s">
        <v>1674</v>
      </c>
    </row>
    <row r="1657" spans="22:23">
      <c r="V1657" s="830" t="s">
        <v>1149</v>
      </c>
      <c r="W1657" s="830" t="s">
        <v>2398</v>
      </c>
    </row>
    <row r="1658" spans="22:23">
      <c r="V1658" s="830" t="s">
        <v>1149</v>
      </c>
      <c r="W1658" s="830" t="s">
        <v>382</v>
      </c>
    </row>
    <row r="1659" spans="22:23">
      <c r="V1659" s="830" t="s">
        <v>1149</v>
      </c>
      <c r="W1659" s="830" t="s">
        <v>2399</v>
      </c>
    </row>
    <row r="1660" spans="22:23">
      <c r="V1660" s="830" t="s">
        <v>1149</v>
      </c>
      <c r="W1660" s="830" t="s">
        <v>2400</v>
      </c>
    </row>
    <row r="1661" spans="22:23">
      <c r="V1661" s="830" t="s">
        <v>1149</v>
      </c>
      <c r="W1661" s="830" t="s">
        <v>567</v>
      </c>
    </row>
    <row r="1662" spans="22:23">
      <c r="V1662" s="830" t="s">
        <v>1149</v>
      </c>
      <c r="W1662" s="830" t="s">
        <v>935</v>
      </c>
    </row>
    <row r="1663" spans="22:23">
      <c r="V1663" s="830" t="s">
        <v>1149</v>
      </c>
      <c r="W1663" s="830" t="s">
        <v>1375</v>
      </c>
    </row>
    <row r="1664" spans="22:23">
      <c r="V1664" s="830" t="s">
        <v>1149</v>
      </c>
      <c r="W1664" s="830" t="s">
        <v>1920</v>
      </c>
    </row>
    <row r="1665" spans="22:23">
      <c r="V1665" s="830" t="s">
        <v>1149</v>
      </c>
      <c r="W1665" s="830" t="s">
        <v>2401</v>
      </c>
    </row>
    <row r="1666" spans="22:23">
      <c r="V1666" s="830" t="s">
        <v>174</v>
      </c>
      <c r="W1666" s="830" t="s">
        <v>2402</v>
      </c>
    </row>
    <row r="1667" spans="22:23">
      <c r="V1667" s="830" t="s">
        <v>174</v>
      </c>
      <c r="W1667" s="830" t="s">
        <v>2403</v>
      </c>
    </row>
    <row r="1668" spans="22:23">
      <c r="V1668" s="830" t="s">
        <v>174</v>
      </c>
      <c r="W1668" s="830" t="s">
        <v>1417</v>
      </c>
    </row>
    <row r="1669" spans="22:23">
      <c r="V1669" s="830" t="s">
        <v>174</v>
      </c>
      <c r="W1669" s="830" t="s">
        <v>2404</v>
      </c>
    </row>
    <row r="1670" spans="22:23">
      <c r="V1670" s="830" t="s">
        <v>174</v>
      </c>
      <c r="W1670" s="830" t="s">
        <v>2405</v>
      </c>
    </row>
    <row r="1671" spans="22:23">
      <c r="V1671" s="830" t="s">
        <v>174</v>
      </c>
      <c r="W1671" s="830" t="s">
        <v>542</v>
      </c>
    </row>
    <row r="1672" spans="22:23">
      <c r="V1672" s="830" t="s">
        <v>174</v>
      </c>
      <c r="W1672" s="830" t="s">
        <v>628</v>
      </c>
    </row>
    <row r="1673" spans="22:23">
      <c r="V1673" s="830" t="s">
        <v>174</v>
      </c>
      <c r="W1673" s="830" t="s">
        <v>2150</v>
      </c>
    </row>
    <row r="1674" spans="22:23">
      <c r="V1674" s="830" t="s">
        <v>174</v>
      </c>
      <c r="W1674" s="830" t="s">
        <v>2406</v>
      </c>
    </row>
    <row r="1675" spans="22:23">
      <c r="V1675" s="830" t="s">
        <v>174</v>
      </c>
      <c r="W1675" s="830" t="s">
        <v>27</v>
      </c>
    </row>
    <row r="1676" spans="22:23">
      <c r="V1676" s="830" t="s">
        <v>174</v>
      </c>
      <c r="W1676" s="830" t="s">
        <v>2205</v>
      </c>
    </row>
    <row r="1677" spans="22:23">
      <c r="V1677" s="830" t="s">
        <v>174</v>
      </c>
      <c r="W1677" s="830" t="s">
        <v>2407</v>
      </c>
    </row>
    <row r="1678" spans="22:23">
      <c r="V1678" s="830" t="s">
        <v>174</v>
      </c>
      <c r="W1678" s="830" t="s">
        <v>863</v>
      </c>
    </row>
    <row r="1679" spans="22:23">
      <c r="V1679" s="830" t="s">
        <v>174</v>
      </c>
      <c r="W1679" s="830" t="s">
        <v>2408</v>
      </c>
    </row>
    <row r="1680" spans="22:23">
      <c r="V1680" s="830" t="s">
        <v>174</v>
      </c>
      <c r="W1680" s="830" t="s">
        <v>2409</v>
      </c>
    </row>
    <row r="1681" spans="22:23">
      <c r="V1681" s="830" t="s">
        <v>174</v>
      </c>
      <c r="W1681" s="830" t="s">
        <v>2410</v>
      </c>
    </row>
    <row r="1682" spans="22:23">
      <c r="V1682" s="830" t="s">
        <v>174</v>
      </c>
      <c r="W1682" s="830" t="s">
        <v>284</v>
      </c>
    </row>
    <row r="1683" spans="22:23">
      <c r="V1683" s="830" t="s">
        <v>174</v>
      </c>
      <c r="W1683" s="830" t="s">
        <v>2411</v>
      </c>
    </row>
    <row r="1684" spans="22:23">
      <c r="V1684" s="830" t="s">
        <v>174</v>
      </c>
      <c r="W1684" s="830" t="s">
        <v>387</v>
      </c>
    </row>
    <row r="1685" spans="22:23">
      <c r="V1685" s="830" t="s">
        <v>174</v>
      </c>
      <c r="W1685" s="830" t="s">
        <v>2412</v>
      </c>
    </row>
    <row r="1686" spans="22:23">
      <c r="V1686" s="830" t="s">
        <v>174</v>
      </c>
      <c r="W1686" s="830" t="s">
        <v>2134</v>
      </c>
    </row>
    <row r="1687" spans="22:23">
      <c r="V1687" s="830" t="s">
        <v>174</v>
      </c>
      <c r="W1687" s="830" t="s">
        <v>1806</v>
      </c>
    </row>
    <row r="1688" spans="22:23">
      <c r="V1688" s="830" t="s">
        <v>174</v>
      </c>
      <c r="W1688" s="830" t="s">
        <v>1520</v>
      </c>
    </row>
    <row r="1689" spans="22:23">
      <c r="V1689" s="830" t="s">
        <v>174</v>
      </c>
      <c r="W1689" s="830" t="s">
        <v>2413</v>
      </c>
    </row>
    <row r="1690" spans="22:23">
      <c r="V1690" s="830" t="s">
        <v>174</v>
      </c>
      <c r="W1690" s="830" t="s">
        <v>920</v>
      </c>
    </row>
    <row r="1691" spans="22:23">
      <c r="V1691" s="830" t="s">
        <v>174</v>
      </c>
      <c r="W1691" s="830" t="s">
        <v>2414</v>
      </c>
    </row>
    <row r="1692" spans="22:23">
      <c r="V1692" s="830" t="s">
        <v>174</v>
      </c>
      <c r="W1692" s="830" t="s">
        <v>1636</v>
      </c>
    </row>
    <row r="1693" spans="22:23">
      <c r="V1693" s="830" t="s">
        <v>174</v>
      </c>
      <c r="W1693" s="830" t="s">
        <v>841</v>
      </c>
    </row>
    <row r="1694" spans="22:23">
      <c r="V1694" s="830" t="s">
        <v>174</v>
      </c>
      <c r="W1694" s="830" t="s">
        <v>2415</v>
      </c>
    </row>
    <row r="1695" spans="22:23">
      <c r="V1695" s="830" t="s">
        <v>174</v>
      </c>
      <c r="W1695" s="830" t="s">
        <v>1856</v>
      </c>
    </row>
    <row r="1696" spans="22:23">
      <c r="V1696" s="830" t="s">
        <v>174</v>
      </c>
      <c r="W1696" s="830" t="s">
        <v>1269</v>
      </c>
    </row>
    <row r="1697" spans="22:23">
      <c r="V1697" s="830" t="s">
        <v>174</v>
      </c>
      <c r="W1697" s="830" t="s">
        <v>1724</v>
      </c>
    </row>
    <row r="1698" spans="22:23">
      <c r="V1698" s="830" t="s">
        <v>174</v>
      </c>
      <c r="W1698" s="830" t="s">
        <v>2416</v>
      </c>
    </row>
    <row r="1699" spans="22:23">
      <c r="V1699" s="830" t="s">
        <v>174</v>
      </c>
      <c r="W1699" s="830" t="s">
        <v>2417</v>
      </c>
    </row>
    <row r="1700" spans="22:23">
      <c r="V1700" s="830" t="s">
        <v>174</v>
      </c>
      <c r="W1700" s="830" t="s">
        <v>2418</v>
      </c>
    </row>
    <row r="1701" spans="22:23">
      <c r="V1701" s="830" t="s">
        <v>174</v>
      </c>
      <c r="W1701" s="830" t="s">
        <v>350</v>
      </c>
    </row>
    <row r="1702" spans="22:23">
      <c r="V1702" s="830" t="s">
        <v>174</v>
      </c>
      <c r="W1702" s="830" t="s">
        <v>1006</v>
      </c>
    </row>
    <row r="1703" spans="22:23">
      <c r="V1703" s="830" t="s">
        <v>174</v>
      </c>
      <c r="W1703" s="830" t="s">
        <v>2419</v>
      </c>
    </row>
    <row r="1704" spans="22:23">
      <c r="V1704" s="830" t="s">
        <v>174</v>
      </c>
      <c r="W1704" s="830" t="s">
        <v>1213</v>
      </c>
    </row>
    <row r="1705" spans="22:23">
      <c r="V1705" s="830" t="s">
        <v>174</v>
      </c>
      <c r="W1705" s="830" t="s">
        <v>166</v>
      </c>
    </row>
    <row r="1706" spans="22:23">
      <c r="V1706" s="830" t="s">
        <v>174</v>
      </c>
      <c r="W1706" s="830" t="s">
        <v>1462</v>
      </c>
    </row>
    <row r="1707" spans="22:23">
      <c r="V1707" s="830" t="s">
        <v>174</v>
      </c>
      <c r="W1707" s="830" t="s">
        <v>14</v>
      </c>
    </row>
    <row r="1708" spans="22:23">
      <c r="V1708" s="830" t="s">
        <v>174</v>
      </c>
      <c r="W1708" s="830" t="s">
        <v>2420</v>
      </c>
    </row>
    <row r="1709" spans="22:23">
      <c r="V1709" s="830" t="s">
        <v>57</v>
      </c>
      <c r="W1709" s="830" t="s">
        <v>297</v>
      </c>
    </row>
    <row r="1710" spans="22:23">
      <c r="V1710" s="830" t="s">
        <v>57</v>
      </c>
      <c r="W1710" s="830" t="s">
        <v>2421</v>
      </c>
    </row>
    <row r="1711" spans="22:23">
      <c r="V1711" s="830" t="s">
        <v>57</v>
      </c>
      <c r="W1711" s="830" t="s">
        <v>2422</v>
      </c>
    </row>
    <row r="1712" spans="22:23">
      <c r="V1712" s="830" t="s">
        <v>57</v>
      </c>
      <c r="W1712" s="830" t="s">
        <v>2423</v>
      </c>
    </row>
    <row r="1713" spans="22:23">
      <c r="V1713" s="830" t="s">
        <v>57</v>
      </c>
      <c r="W1713" s="830" t="s">
        <v>2424</v>
      </c>
    </row>
    <row r="1714" spans="22:23">
      <c r="V1714" s="830" t="s">
        <v>57</v>
      </c>
      <c r="W1714" s="830" t="s">
        <v>1941</v>
      </c>
    </row>
    <row r="1715" spans="22:23">
      <c r="V1715" s="830" t="s">
        <v>57</v>
      </c>
      <c r="W1715" s="830" t="s">
        <v>2425</v>
      </c>
    </row>
    <row r="1716" spans="22:23">
      <c r="V1716" s="830" t="s">
        <v>57</v>
      </c>
      <c r="W1716" s="830" t="s">
        <v>2426</v>
      </c>
    </row>
    <row r="1717" spans="22:23">
      <c r="V1717" s="830" t="s">
        <v>57</v>
      </c>
      <c r="W1717" s="830" t="s">
        <v>513</v>
      </c>
    </row>
    <row r="1718" spans="22:23">
      <c r="V1718" s="830" t="s">
        <v>57</v>
      </c>
      <c r="W1718" s="830" t="s">
        <v>2427</v>
      </c>
    </row>
    <row r="1719" spans="22:23">
      <c r="V1719" s="830" t="s">
        <v>57</v>
      </c>
      <c r="W1719" s="830" t="s">
        <v>2428</v>
      </c>
    </row>
    <row r="1720" spans="22:23">
      <c r="V1720" s="830" t="s">
        <v>57</v>
      </c>
      <c r="W1720" s="830" t="s">
        <v>676</v>
      </c>
    </row>
    <row r="1721" spans="22:23">
      <c r="V1721" s="830" t="s">
        <v>57</v>
      </c>
      <c r="W1721" s="830" t="s">
        <v>2429</v>
      </c>
    </row>
    <row r="1722" spans="22:23">
      <c r="V1722" s="830" t="s">
        <v>57</v>
      </c>
      <c r="W1722" s="830" t="s">
        <v>2430</v>
      </c>
    </row>
    <row r="1723" spans="22:23">
      <c r="V1723" s="830" t="s">
        <v>57</v>
      </c>
      <c r="W1723" s="830" t="s">
        <v>2431</v>
      </c>
    </row>
    <row r="1724" spans="22:23">
      <c r="V1724" s="830" t="s">
        <v>57</v>
      </c>
      <c r="W1724" s="830" t="s">
        <v>2432</v>
      </c>
    </row>
    <row r="1725" spans="22:23">
      <c r="V1725" s="830" t="s">
        <v>57</v>
      </c>
      <c r="W1725" s="830" t="s">
        <v>1995</v>
      </c>
    </row>
    <row r="1726" spans="22:23">
      <c r="V1726" s="830" t="s">
        <v>57</v>
      </c>
      <c r="W1726" s="830" t="s">
        <v>2433</v>
      </c>
    </row>
    <row r="1727" spans="22:23">
      <c r="V1727" s="830" t="s">
        <v>57</v>
      </c>
      <c r="W1727" s="830" t="s">
        <v>2434</v>
      </c>
    </row>
    <row r="1728" spans="22:23">
      <c r="V1728" s="830" t="s">
        <v>57</v>
      </c>
      <c r="W1728" s="830" t="s">
        <v>2339</v>
      </c>
    </row>
    <row r="1729" spans="22:23">
      <c r="V1729" s="830" t="s">
        <v>57</v>
      </c>
      <c r="W1729" s="830" t="s">
        <v>2435</v>
      </c>
    </row>
    <row r="1730" spans="22:23">
      <c r="V1730" s="830" t="s">
        <v>57</v>
      </c>
      <c r="W1730" s="830" t="s">
        <v>2326</v>
      </c>
    </row>
    <row r="1731" spans="22:23">
      <c r="V1731" s="830" t="s">
        <v>57</v>
      </c>
      <c r="W1731" s="830" t="s">
        <v>2436</v>
      </c>
    </row>
    <row r="1732" spans="22:23">
      <c r="V1732" s="830" t="s">
        <v>57</v>
      </c>
      <c r="W1732" s="830" t="s">
        <v>1330</v>
      </c>
    </row>
    <row r="1733" spans="22:23">
      <c r="V1733" s="830" t="s">
        <v>57</v>
      </c>
      <c r="W1733" s="830" t="s">
        <v>2437</v>
      </c>
    </row>
    <row r="1734" spans="22:23">
      <c r="V1734" s="830" t="s">
        <v>57</v>
      </c>
      <c r="W1734" s="830" t="s">
        <v>2438</v>
      </c>
    </row>
    <row r="1735" spans="22:23">
      <c r="V1735" s="830" t="s">
        <v>57</v>
      </c>
      <c r="W1735" s="830" t="s">
        <v>2439</v>
      </c>
    </row>
    <row r="1736" spans="22:23">
      <c r="V1736" s="830" t="s">
        <v>57</v>
      </c>
      <c r="W1736" s="830" t="s">
        <v>2041</v>
      </c>
    </row>
    <row r="1737" spans="22:23">
      <c r="V1737" s="830" t="s">
        <v>57</v>
      </c>
      <c r="W1737" s="830" t="s">
        <v>2440</v>
      </c>
    </row>
    <row r="1738" spans="22:23">
      <c r="V1738" s="830" t="s">
        <v>57</v>
      </c>
      <c r="W1738" s="830" t="s">
        <v>60</v>
      </c>
    </row>
    <row r="1739" spans="22:23">
      <c r="V1739" s="830" t="s">
        <v>57</v>
      </c>
      <c r="W1739" s="830" t="s">
        <v>2441</v>
      </c>
    </row>
    <row r="1740" spans="22:23">
      <c r="V1740" s="830" t="s">
        <v>57</v>
      </c>
      <c r="W1740" s="830" t="s">
        <v>1240</v>
      </c>
    </row>
    <row r="1741" spans="22:23">
      <c r="V1741" s="830" t="s">
        <v>57</v>
      </c>
      <c r="W1741" s="830" t="s">
        <v>1008</v>
      </c>
    </row>
    <row r="1742" spans="22:23">
      <c r="V1742" s="830" t="s">
        <v>57</v>
      </c>
      <c r="W1742" s="830" t="s">
        <v>2442</v>
      </c>
    </row>
    <row r="1743" spans="22:23">
      <c r="V1743" s="830" t="s">
        <v>57</v>
      </c>
      <c r="W1743" s="830" t="s">
        <v>1612</v>
      </c>
    </row>
    <row r="1744" spans="22:23">
      <c r="V1744" s="830" t="s">
        <v>57</v>
      </c>
      <c r="W1744" s="830" t="s">
        <v>2443</v>
      </c>
    </row>
    <row r="1745" spans="22:23">
      <c r="V1745" s="830" t="s">
        <v>57</v>
      </c>
      <c r="W1745" s="830" t="s">
        <v>2444</v>
      </c>
    </row>
    <row r="1746" spans="22:23">
      <c r="V1746" s="830" t="s">
        <v>57</v>
      </c>
      <c r="W1746" s="830" t="s">
        <v>607</v>
      </c>
    </row>
    <row r="1747" spans="22:23">
      <c r="V1747" s="830" t="s">
        <v>57</v>
      </c>
      <c r="W1747" s="830" t="s">
        <v>2445</v>
      </c>
    </row>
    <row r="1748" spans="22:23">
      <c r="V1748" s="830" t="s">
        <v>57</v>
      </c>
      <c r="W1748" s="830" t="s">
        <v>56</v>
      </c>
    </row>
    <row r="1749" spans="22:23" ht="14.25">
      <c r="V1749" s="832" t="s">
        <v>57</v>
      </c>
      <c r="W1749" s="832" t="s">
        <v>1363</v>
      </c>
    </row>
  </sheetData>
  <sheetProtection algorithmName="SHA-512" hashValue="tTyniuyOSRKoy329fqjt09wMuHVeYeUoO0uEpp3j+U36S8pxJSAAX9K3LI57TQbIKwQS7TvIdD6OSaiaGAOBoQ==" saltValue="xgOdreu8ATTl6O2Y9Xwdw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8" scale="10" fitToWidth="1" fitToHeight="1" orientation="landscape" usePrinterDefaults="1" r:id="rId1"/>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2026-03-25T09:30:36Z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2026-03-25T09:30:36Z</vt:filetime>
  </property>
</Properties>
</file>